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tabRatio="911" firstSheet="16" activeTab="22"/>
  </bookViews>
  <sheets>
    <sheet name="附件1-1. 2019年一般公共预算收入" sheetId="44" r:id="rId1"/>
    <sheet name="附件1-2.2019年一般公共预算支出（功能科目）" sheetId="52" r:id="rId2"/>
    <sheet name="附件1-3.2019年一般公共预算支出（经济科目）" sheetId="43" r:id="rId3"/>
    <sheet name="附件1-4. 2019年上级转移支付执行情况表 " sheetId="74" r:id="rId4"/>
    <sheet name="附件2-1.2020年一般公共预算收入" sheetId="28" r:id="rId5"/>
    <sheet name="附件2-2.2020年一般公共预算支出（功能科目）" sheetId="68" r:id="rId6"/>
    <sheet name="附件2-3.2020年一般公共预算支出（经济科目）" sheetId="22" r:id="rId7"/>
    <sheet name="附件2-4.2020年上级转移支付提前下达汇总表 " sheetId="73" r:id="rId8"/>
    <sheet name="附件2-5.2020年区级财政专项资金预算表" sheetId="60" r:id="rId9"/>
    <sheet name="附件3-1.2020年政府性基金预算（草案）表 " sheetId="75" r:id="rId10"/>
    <sheet name="附件3-2.2020年国土基金收支计划表" sheetId="67" r:id="rId11"/>
    <sheet name="附件3-3.2019年政府性基金上级转移支付执行情况表" sheetId="71" r:id="rId12"/>
    <sheet name="附件3-4.2020年政府性基金上级转移支付表" sheetId="72" r:id="rId13"/>
    <sheet name="附件4.国有资本经营收支预算" sheetId="58" r:id="rId14"/>
    <sheet name="附件5-1.债务限额及余额情况表" sheetId="77" r:id="rId15"/>
    <sheet name="附件5-2.一般债务余额情况表" sheetId="78" r:id="rId16"/>
    <sheet name="附件5-3.专项债务余额情况表" sheetId="79" r:id="rId17"/>
    <sheet name="附件5-4.债券发行及还本付息情况表" sheetId="80" r:id="rId18"/>
    <sheet name="附件5-5.债务限额提前下达情况表" sheetId="82" r:id="rId19"/>
    <sheet name="附件5-6.债券分年度偿还计划情况表" sheetId="81" r:id="rId20"/>
    <sheet name="附件6.2020年税收返还和转移支付分地区汇总表" sheetId="66" r:id="rId21"/>
    <sheet name="附件7.2020年社会保险基金预算表" sheetId="65" r:id="rId22"/>
    <sheet name="附件8.龙岗区重大项目计划表" sheetId="76" r:id="rId23"/>
  </sheets>
  <definedNames>
    <definedName name="_xlnm._FilterDatabase" localSheetId="0" hidden="1">'附件1-1. 2019年一般公共预算收入'!$A$4:$F$30</definedName>
    <definedName name="_xlnm._FilterDatabase" localSheetId="1" hidden="1">'附件1-2.2019年一般公共预算支出（功能科目）'!$A$4:$M$518</definedName>
    <definedName name="_xlnm._FilterDatabase" localSheetId="5" hidden="1">'附件2-2.2020年一般公共预算支出（功能科目）'!$A$4:$I$539</definedName>
    <definedName name="_xlnm._FilterDatabase" localSheetId="6" hidden="1">'附件2-3.2020年一般公共预算支出（经济科目）'!$A$5:$L$69</definedName>
    <definedName name="_xlnm.Print_Titles" localSheetId="1">'附件1-2.2019年一般公共预算支出（功能科目）'!$4:$4</definedName>
    <definedName name="_xlnm.Print_Titles" localSheetId="2">'附件1-3.2019年一般公共预算支出（经济科目）'!$4:$4</definedName>
    <definedName name="_xlnm.Print_Titles" localSheetId="3">'附件1-4. 2019年上级转移支付执行情况表 '!$21:$21</definedName>
    <definedName name="_xlnm.Print_Titles" localSheetId="5">'附件2-2.2020年一般公共预算支出（功能科目）'!$4:$4</definedName>
    <definedName name="_xlnm.Print_Titles" localSheetId="6">'附件2-3.2020年一般公共预算支出（经济科目）'!$5:$5</definedName>
    <definedName name="_xlnm.Print_Titles" localSheetId="11">'附件3-3.2019年政府性基金上级转移支付执行情况表'!$4:$4</definedName>
    <definedName name="_xlnm.Print_Titles" localSheetId="22">附件8.龙岗区重大项目计划表!$4:$4</definedName>
    <definedName name="_xlnm._FilterDatabase" localSheetId="2" hidden="1">'附件1-3.2019年一般公共预算支出（经济科目）'!$A$5:$H$65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<sst xmlns="http://schemas.openxmlformats.org/spreadsheetml/2006/main" count="2834" uniqueCount="1632">
  <si>
    <t>附件1-1：</t>
  </si>
  <si>
    <t xml:space="preserve">龙岗区2019年一般公共预算收入预算（草案）表 </t>
  </si>
  <si>
    <t>单位:万元</t>
  </si>
  <si>
    <t>收入项目</t>
  </si>
  <si>
    <t>2019年预算数</t>
  </si>
  <si>
    <t>2019年预算调整数</t>
  </si>
  <si>
    <t>2019年执行数</t>
  </si>
  <si>
    <t>2019年执行数比2019年预算调整数增长%</t>
  </si>
  <si>
    <t>备  注</t>
  </si>
  <si>
    <t>一、工商税收分成收入</t>
  </si>
  <si>
    <t xml:space="preserve">      增值税</t>
  </si>
  <si>
    <t xml:space="preserve">      企业所得税</t>
  </si>
  <si>
    <t xml:space="preserve">      个人所得税</t>
  </si>
  <si>
    <t xml:space="preserve">      房产税</t>
  </si>
  <si>
    <t xml:space="preserve">      土地增值税</t>
  </si>
  <si>
    <t xml:space="preserve">      契税</t>
  </si>
  <si>
    <t xml:space="preserve">      城市维护建设税</t>
  </si>
  <si>
    <t xml:space="preserve">      印花税</t>
  </si>
  <si>
    <t xml:space="preserve">      城镇土地使用税</t>
  </si>
  <si>
    <t xml:space="preserve">      其他税收收入</t>
  </si>
  <si>
    <t>-</t>
  </si>
  <si>
    <t>二、非税收入</t>
  </si>
  <si>
    <t xml:space="preserve">      专项收入（排污费返还）</t>
  </si>
  <si>
    <t xml:space="preserve">      罚没收入</t>
  </si>
  <si>
    <t xml:space="preserve">      行政事业性收费</t>
  </si>
  <si>
    <t xml:space="preserve">     国有资本经营收入</t>
  </si>
  <si>
    <t xml:space="preserve">      国有资产有偿使用收入</t>
  </si>
  <si>
    <t xml:space="preserve">      政府住房基金收入</t>
  </si>
  <si>
    <t xml:space="preserve">      其他收入</t>
  </si>
  <si>
    <t>一般公共预算收入</t>
  </si>
  <si>
    <t>三、中央税收返还收入</t>
  </si>
  <si>
    <t>四、上级补助收入</t>
  </si>
  <si>
    <t>五、动用上年结余</t>
  </si>
  <si>
    <t>六、调入资金</t>
  </si>
  <si>
    <t>七、动用预算稳定调节基金</t>
  </si>
  <si>
    <t>公共财政预算总收入总计</t>
  </si>
  <si>
    <t>附件1-2：</t>
  </si>
  <si>
    <t>龙岗区2019年一般公共预算支出预算（草案）表
（按功能科目）</t>
  </si>
  <si>
    <t>单位：万元</t>
  </si>
  <si>
    <t>科目编码</t>
  </si>
  <si>
    <t>科目名称</t>
  </si>
  <si>
    <t>2019年部门预算数</t>
  </si>
  <si>
    <t>2019年财政统筹数</t>
  </si>
  <si>
    <t>收回部门预算</t>
  </si>
  <si>
    <t>收回财政统筹数</t>
  </si>
  <si>
    <t xml:space="preserve"> 增减金额超过500万元或增减幅度超过30%的情况说明</t>
  </si>
  <si>
    <t>长度</t>
  </si>
  <si>
    <t>一、一般公共服务支出</t>
  </si>
  <si>
    <t>（一）人大事务</t>
  </si>
  <si>
    <t>行政运行</t>
  </si>
  <si>
    <t>一般行政管理事务</t>
  </si>
  <si>
    <t>人大会议</t>
  </si>
  <si>
    <t>人大监督</t>
  </si>
  <si>
    <t>人大代表履职能力提升</t>
  </si>
  <si>
    <t xml:space="preserve"> </t>
  </si>
  <si>
    <t>代表工作</t>
  </si>
  <si>
    <t>其他人大事务支出</t>
  </si>
  <si>
    <t>（二）政协事务</t>
  </si>
  <si>
    <t>区政协人员工资福利政策性增支。</t>
  </si>
  <si>
    <t>政协会议</t>
  </si>
  <si>
    <t>委员视察</t>
  </si>
  <si>
    <t>参政议政</t>
  </si>
  <si>
    <t>（三）政府办公厅（室）及相关机构事务</t>
  </si>
  <si>
    <t>机关服务</t>
  </si>
  <si>
    <t>信访事务</t>
  </si>
  <si>
    <t>事业运行</t>
  </si>
  <si>
    <t>其他政府办公厅（室）及相关机构事务支出</t>
  </si>
  <si>
    <t>（四）发展与改革事务</t>
  </si>
  <si>
    <t>年中追加区发改局购买人力资源服务经费。</t>
  </si>
  <si>
    <t>战略规划与实施</t>
  </si>
  <si>
    <t>日常经济运行调节</t>
  </si>
  <si>
    <t>经济体制改革研究</t>
  </si>
  <si>
    <t>物价管理</t>
  </si>
  <si>
    <t>区发改局由于职能调整，2019年起不再承担区内民办学校定价初审职能，“物价管理”经费未支出。</t>
  </si>
  <si>
    <t>其他发展与改革事务支出</t>
  </si>
  <si>
    <t>（五）统计信息事务</t>
  </si>
  <si>
    <t>信息事务</t>
  </si>
  <si>
    <t>统计管理</t>
  </si>
  <si>
    <t>专项普查活动</t>
  </si>
  <si>
    <t>统计抽样调查</t>
  </si>
  <si>
    <t>其他统计信息事务支出</t>
  </si>
  <si>
    <t>（六）财政事务</t>
  </si>
  <si>
    <t>区财政局调剂新增会议视频设备升级改造及办公楼修缮费。</t>
  </si>
  <si>
    <t>预算改革业务</t>
  </si>
  <si>
    <t>财政国库业务</t>
  </si>
  <si>
    <t>信息化建设</t>
  </si>
  <si>
    <t>其他财政事务支出</t>
  </si>
  <si>
    <t>年中追加区政府物业管理中心社区配套和公共服务用房有偿接收项目支出4111万元。</t>
  </si>
  <si>
    <t>（七）税收事务</t>
  </si>
  <si>
    <t>协税护税</t>
  </si>
  <si>
    <t>2019年年中市财政局将区级税务部门经费由区级保障调整至市本级保障。2019年执行数主要是未调整财政保障主体前的项目支出。</t>
  </si>
  <si>
    <t>其他税收事务支出</t>
  </si>
  <si>
    <t>（八）审计事务</t>
  </si>
  <si>
    <t>审计业务</t>
  </si>
  <si>
    <t>区审计局审计业务经费部分转从政府投资项目协审费列支。</t>
  </si>
  <si>
    <t>其他审计事务支出</t>
  </si>
  <si>
    <t>年中追加区审计局政府投资项目协审费支出500万元。</t>
  </si>
  <si>
    <t>（九）人力资源事务</t>
  </si>
  <si>
    <t>军队转业干部安置</t>
  </si>
  <si>
    <t>引进人才费用</t>
  </si>
  <si>
    <t>按上级文件要求调整至其他保障性安居工程支出科目列支，2019年已全部支出。</t>
  </si>
  <si>
    <t>其他人力资源事务支出</t>
  </si>
  <si>
    <t>（十）纪检监察事务</t>
  </si>
  <si>
    <t>区纪委（监委）人员工资福利政策性增支。</t>
  </si>
  <si>
    <t>其他纪检监察事务支出</t>
  </si>
  <si>
    <t>年中追加区纪委谈话点办案经费，专网分级保护设备购置安装费。</t>
  </si>
  <si>
    <t>（十一）商贸事务</t>
  </si>
  <si>
    <t>区工信局人员工资福利政策性增支。</t>
  </si>
  <si>
    <t>国内贸易管理</t>
  </si>
  <si>
    <t>招商引资</t>
  </si>
  <si>
    <t>区工信局结合7月底龙岗区招商引资大会契机，将工信局有关工作亮点进行了系统宣传，基本完成了宣传任务，因大会有专门宣传预算，无需用到工信局宣传预算经费，故2019年宣传经费（产业转型升级）没有按计划完全执行。</t>
  </si>
  <si>
    <t>其他商贸事务支出</t>
  </si>
  <si>
    <t>（十二）工商行政管理事务</t>
  </si>
  <si>
    <t>消费者权益保护</t>
  </si>
  <si>
    <t>（十三）质量技术监督与检验检疫事务</t>
  </si>
  <si>
    <t>质量技术监督行政执法及业务管理</t>
  </si>
  <si>
    <t>其他质量技术监督与检验检疫事务支出</t>
  </si>
  <si>
    <t>（十四）民族事务</t>
  </si>
  <si>
    <t>民族工作专项</t>
  </si>
  <si>
    <t>（十五）宗教事务</t>
  </si>
  <si>
    <t>宗教工作专项</t>
  </si>
  <si>
    <t>（十六）港澳台事务</t>
  </si>
  <si>
    <t>其他港澳台事务支出</t>
  </si>
  <si>
    <t>（十七）档案事务</t>
  </si>
  <si>
    <t>档案馆</t>
  </si>
  <si>
    <t>（十八）民主党派及工商联事务</t>
  </si>
  <si>
    <t>工商联人员工资福利政策性增支。</t>
  </si>
  <si>
    <t>根据厉行节约原则，民主党派活动支出减少。</t>
  </si>
  <si>
    <t>其他民主党派及工商联事务支出</t>
  </si>
  <si>
    <t>（十九）群众团体事务</t>
  </si>
  <si>
    <t>工会事务</t>
  </si>
  <si>
    <t>其他群众团体事务支出</t>
  </si>
  <si>
    <t>（二十）组织事务</t>
  </si>
  <si>
    <t>区委组织部人员工资福利政策性增支。</t>
  </si>
  <si>
    <t>其他组织事务支出</t>
  </si>
  <si>
    <t>（二十一）宣传事务</t>
  </si>
  <si>
    <t>其他宣传事务支出</t>
  </si>
  <si>
    <t>（二十二）统战事务</t>
  </si>
  <si>
    <t>区委统战部人员工资福利政策性增支。</t>
  </si>
  <si>
    <t>宗教事务</t>
  </si>
  <si>
    <t>其他统战事务支出</t>
  </si>
  <si>
    <t>（二十三）其他共产党事务支出</t>
  </si>
  <si>
    <t>其他共产党事务支出</t>
  </si>
  <si>
    <t xml:space="preserve"> （二十四） 网信事务</t>
  </si>
  <si>
    <t xml:space="preserve"> 其他网信事务支出</t>
  </si>
  <si>
    <t>年中追加基建支出3801万元，其中：区党群服务中心监控视频和多方会议系统工程800万元，区迎宾馆二、三楼多媒体改造工程300万元，智慧怡锦建设项目264万元。</t>
  </si>
  <si>
    <t>（二十五）市场监督管理事务</t>
  </si>
  <si>
    <t>食药安办因机构改革划转出人员经费。</t>
  </si>
  <si>
    <t>食药安办年中统筹收回。</t>
  </si>
  <si>
    <t>市场监督管理专项</t>
  </si>
  <si>
    <t>其他市场监督管理事务</t>
  </si>
  <si>
    <t>深圳市市场监督管理局龙岗监管局老旧电梯改造项目经费部分未支出。</t>
  </si>
  <si>
    <t>（二十六）其他一般公共服务支出</t>
  </si>
  <si>
    <t>其他一般公共服务支出</t>
  </si>
  <si>
    <t>二、国防支出</t>
  </si>
  <si>
    <t>（一）国防动员</t>
  </si>
  <si>
    <t>人民防空</t>
  </si>
  <si>
    <t>民防经费因机构改革从区应急办调剂至建设局，经费调剂后，功能科目相应调整。</t>
  </si>
  <si>
    <t>（二）其他国防支出</t>
  </si>
  <si>
    <t>其他国防支出</t>
  </si>
  <si>
    <t>三、公共安全支出</t>
  </si>
  <si>
    <t>（一）武装警察</t>
  </si>
  <si>
    <t>消防</t>
  </si>
  <si>
    <t>（二）公安</t>
  </si>
  <si>
    <t>年中追加龙岗公安分局公务用车购置费3593万元、看守所和派出所办公设备购置费694万元、上级专项转移支付资金441万元。</t>
  </si>
  <si>
    <t>治安管理</t>
  </si>
  <si>
    <t>国内安全保卫</t>
  </si>
  <si>
    <t>刑事侦查</t>
  </si>
  <si>
    <t>经济犯罪侦查</t>
  </si>
  <si>
    <t>出入境管理</t>
  </si>
  <si>
    <t>禁毒管理</t>
  </si>
  <si>
    <t>道路交通管理</t>
  </si>
  <si>
    <t>反恐怖</t>
  </si>
  <si>
    <t>居民身份证管理</t>
  </si>
  <si>
    <t>拘押收教场所管理</t>
  </si>
  <si>
    <t>因工程进度不与预期，雪亮工程维护项目未能按原定计划执行，维护费实际支出比预算数减少5185万元。</t>
  </si>
  <si>
    <t>执法办案</t>
  </si>
  <si>
    <t>主要是辅警人员未按原计划招录到位，实际支出比预算数减少3867万元。</t>
  </si>
  <si>
    <t>其他公安支出</t>
  </si>
  <si>
    <t>年中追加龙岗公安分局基建支出7628万元。主要涉及机训大队排爆及安检设备采购项目，雪亮工程视频门禁项目网络、存储设备采购，社区警务应用平台系统，警务辅助人员备勤用房维修改造工程等。</t>
  </si>
  <si>
    <t>（三）国家安全</t>
  </si>
  <si>
    <t>安全业务</t>
  </si>
  <si>
    <t>其他国家安全支出</t>
  </si>
  <si>
    <t>（四）法院</t>
  </si>
  <si>
    <t>“两庭”建设</t>
  </si>
  <si>
    <t>（五）司法</t>
  </si>
  <si>
    <t>基层司法业务</t>
  </si>
  <si>
    <t>普法宣传</t>
  </si>
  <si>
    <t>律师公证管理</t>
  </si>
  <si>
    <t>经济与科技发展专项资金列支律师行业资助资金266万元。</t>
  </si>
  <si>
    <t>法律援助</t>
  </si>
  <si>
    <t>社区矫正</t>
  </si>
  <si>
    <t>法制建设</t>
  </si>
  <si>
    <t>（六）强制隔离戒毒</t>
  </si>
  <si>
    <t>从“强制隔离戒毒人员生活”项目中调剂列支办公设备购置经费110万元。</t>
  </si>
  <si>
    <t>强制隔离戒毒人员生活</t>
  </si>
  <si>
    <t>（七）其他公共安全支出</t>
  </si>
  <si>
    <t>其他公共安全支出</t>
  </si>
  <si>
    <t>其他消防</t>
  </si>
  <si>
    <t>四、教育支出</t>
  </si>
  <si>
    <t>（一）教育管理事务</t>
  </si>
  <si>
    <t>区教育局人员工资福利政策性增支。</t>
  </si>
  <si>
    <t>其他教育管理事务支出</t>
  </si>
  <si>
    <t>教师奖励慰问金4098万元调剂分配各学校，功能科目相应调整至小学教育、初中教育、高中教育。</t>
  </si>
  <si>
    <t>（二）普通教育</t>
  </si>
  <si>
    <t>学前教育</t>
  </si>
  <si>
    <t>正常结余。</t>
  </si>
  <si>
    <t>小学教育</t>
  </si>
  <si>
    <t>主要是追加人员政策性增支经费。</t>
  </si>
  <si>
    <t>初中教育</t>
  </si>
  <si>
    <t>高中教育</t>
  </si>
  <si>
    <t>高等教育</t>
  </si>
  <si>
    <t>其他普通教育支出</t>
  </si>
  <si>
    <r>
      <rPr>
        <sz val="12"/>
        <color rgb="FF000000"/>
        <rFont val="华文仿宋"/>
        <charset val="134"/>
      </rPr>
      <t>年中追加义务教育学校基建支出</t>
    </r>
    <r>
      <rPr>
        <sz val="12"/>
        <rFont val="华文仿宋"/>
        <charset val="134"/>
      </rPr>
      <t>145527万元</t>
    </r>
    <r>
      <rPr>
        <sz val="12"/>
        <color indexed="8"/>
        <rFont val="华文仿宋"/>
        <charset val="134"/>
      </rPr>
      <t>，其中：深圳外国语学校（龙岗）国际部永久校区新建工程</t>
    </r>
    <r>
      <rPr>
        <sz val="12"/>
        <rFont val="华文仿宋"/>
        <charset val="134"/>
      </rPr>
      <t>65369万元</t>
    </r>
    <r>
      <rPr>
        <sz val="12"/>
        <color indexed="8"/>
        <rFont val="华文仿宋"/>
        <charset val="134"/>
      </rPr>
      <t>，龙岗街道仙田九年一贯制学校新建工程16033万元，龙城街道兰著学校改扩建工程4938万元，龙岗街道杨梅岗九年一贯制学校新建工程3400万元，深圳国际大学园院士科研中心建设项目2500万元，坪地街道第二小学改扩建工程2378万元。</t>
    </r>
  </si>
  <si>
    <t>（三）职业教育</t>
  </si>
  <si>
    <t>中专教育</t>
  </si>
  <si>
    <t>学校人员工资福利政策性增支。</t>
  </si>
  <si>
    <t>其他职业教育支出</t>
  </si>
  <si>
    <t>年中追加基建支出1044万元，主要是区职业培训学校智能制造高技能人才实训、认证区域中心建设项目969万元。</t>
  </si>
  <si>
    <t>（四）成人教育</t>
  </si>
  <si>
    <t>成人广播电视教育</t>
  </si>
  <si>
    <t>（五）广播电视教育</t>
  </si>
  <si>
    <t>其他广播电视教育支出</t>
  </si>
  <si>
    <t>（六）特殊教育</t>
  </si>
  <si>
    <t>特殊学校教育</t>
  </si>
  <si>
    <t>年中追加特殊学校人员经费、生均公用经费等约200万元。</t>
  </si>
  <si>
    <t>其他特殊教育支出</t>
  </si>
  <si>
    <t>（七）进修及培训</t>
  </si>
  <si>
    <t>教师进修</t>
  </si>
  <si>
    <t>干部教育</t>
  </si>
  <si>
    <t>培训支出</t>
  </si>
  <si>
    <t>严控培训事项，部分年初预算安排培训事项取消。</t>
  </si>
  <si>
    <t>（八）教育费附加安排的支出</t>
  </si>
  <si>
    <t>其他教育费附加安排的支出</t>
  </si>
  <si>
    <t>123个学校项目经费部分未支出。</t>
  </si>
  <si>
    <t>（九）其他教育支出</t>
  </si>
  <si>
    <t>其他教育支出</t>
  </si>
  <si>
    <t>生均项目经费未使用完毕。</t>
  </si>
  <si>
    <t>五、科学技术支出</t>
  </si>
  <si>
    <t>（一）科学技术管理事务</t>
  </si>
  <si>
    <t>其他科学技术管理事务支出</t>
  </si>
  <si>
    <t xml:space="preserve"> （二）基础研究</t>
  </si>
  <si>
    <t>自然科学基金</t>
  </si>
  <si>
    <t>（三）技术研究与开发</t>
  </si>
  <si>
    <t>产业技术研究与开发</t>
  </si>
  <si>
    <t>区科创局经济与科技发展专项资金3007万元。</t>
  </si>
  <si>
    <t>其他技术研究与开发支出</t>
  </si>
  <si>
    <t>（三）科技条件与服务</t>
  </si>
  <si>
    <t>机构运行</t>
  </si>
  <si>
    <t>其他科技条件与服务支出</t>
  </si>
  <si>
    <t>（四）科学技术普及</t>
  </si>
  <si>
    <t>科普活动</t>
  </si>
  <si>
    <t>其他科学技术普及支出</t>
  </si>
  <si>
    <t>（五）科技交流与合作</t>
  </si>
  <si>
    <t>其他科技交流与合作支出</t>
  </si>
  <si>
    <t>年中追加区营商环境展示暨招商引资大会、增加高交会费用。</t>
  </si>
  <si>
    <t>（六）其他科学技术支出</t>
  </si>
  <si>
    <t>其他科学技术支出</t>
  </si>
  <si>
    <t>主要包括安排区工信局经济与科技发展专项资金57800万元、区科创局经济与科技发展专项资金42650万元。</t>
  </si>
  <si>
    <t>六、文化旅游体育与传媒支出</t>
  </si>
  <si>
    <t>（一）文化</t>
  </si>
  <si>
    <t>图书馆</t>
  </si>
  <si>
    <t>文化展示及纪念机构</t>
  </si>
  <si>
    <t>艺术表演团体</t>
  </si>
  <si>
    <t>文化活动</t>
  </si>
  <si>
    <t>群众文化</t>
  </si>
  <si>
    <t>文化和旅游交流与合作</t>
  </si>
  <si>
    <t>开心麻花项目因区文化中心场地升级改造，区内无相应级别场地，影响演出场次及部分项目暂未验收通过等原因，导致2019年执行数较2019年预算数低。</t>
  </si>
  <si>
    <t>文化创作与保护</t>
  </si>
  <si>
    <t>文化和旅游市场管理</t>
  </si>
  <si>
    <t>旅游行业业务管理</t>
  </si>
  <si>
    <t>其他文化和旅游支出</t>
  </si>
  <si>
    <t>年中追加基建支出11669万元，其中：文化中心大剧院和音乐厅维修改造工程（二期）1500万元，八仙岭公园（二期）680万元，大田世居整体修缮工程--龙岗区不可移动文物抢险加固修缮工程829万元，横岗街道怡锦社区公园工程808万元，吉坑世居-龙岗区不可移动文物抢险加固修缮工程300万元，龙岗区智慧公园建设工程（主体工程）684万元，区文化中心大剧院和音乐厅维修改造工程504万元，同德社区公园建设工程426万元，雪象体育公园300万元。</t>
  </si>
  <si>
    <t>（二）文物</t>
  </si>
  <si>
    <t>文物保护</t>
  </si>
  <si>
    <t>年中追加第二届收藏文化月、文博展览馆展出临时展览中华人民共和国成立七十周年展等活动经费。</t>
  </si>
  <si>
    <t>其他文物支出</t>
  </si>
  <si>
    <t>（三）体育</t>
  </si>
  <si>
    <t>体育竞赛</t>
  </si>
  <si>
    <t>体育场馆</t>
  </si>
  <si>
    <t>年中追加基建支出9万元。</t>
  </si>
  <si>
    <t>群众体育</t>
  </si>
  <si>
    <t>体育交流与合作</t>
  </si>
  <si>
    <t>其他体育支出</t>
  </si>
  <si>
    <t>（四）新闻出版电影</t>
  </si>
  <si>
    <t>新闻通讯</t>
  </si>
  <si>
    <t xml:space="preserve"> 其他新闻出版电影支出</t>
  </si>
  <si>
    <t>（五）其他文化体育与传媒支出</t>
  </si>
  <si>
    <t>宣传文化发展专项支出</t>
  </si>
  <si>
    <t>其他文化体育与传媒支出</t>
  </si>
  <si>
    <t>七、社会保障和就业支出</t>
  </si>
  <si>
    <t>（一）人力资源和社会保障管理事务</t>
  </si>
  <si>
    <t>劳动保障监察</t>
  </si>
  <si>
    <t>就业管理事务</t>
  </si>
  <si>
    <t>劳动关系和维权</t>
  </si>
  <si>
    <t>区人力资源局劳资应急资金调剂至各街道办使用，功能科目相应调整。</t>
  </si>
  <si>
    <t>公共就业服务和职业技能鉴定机构</t>
  </si>
  <si>
    <t>劳动人事争议调解仲裁</t>
  </si>
  <si>
    <t>其他人力资源和社会保障管理事务支出</t>
  </si>
  <si>
    <t>（二）民政管理事务</t>
  </si>
  <si>
    <t>拥军优属</t>
  </si>
  <si>
    <t>老龄事务</t>
  </si>
  <si>
    <t>民间组织管理</t>
  </si>
  <si>
    <t>行政区划和地名管理</t>
  </si>
  <si>
    <t>基层政权和社区建设</t>
  </si>
  <si>
    <t>年中调整至“其他城乡社区支出”科目列支。</t>
  </si>
  <si>
    <t>其他民政管理事务支出</t>
  </si>
  <si>
    <t>（三）行政事业单位离退休</t>
  </si>
  <si>
    <t>归口管理的行政单位离退休</t>
  </si>
  <si>
    <t>事业单位离退休</t>
  </si>
  <si>
    <t>离退休人员管理机构</t>
  </si>
  <si>
    <t>机关事业单位基本养老保险缴费支出</t>
  </si>
  <si>
    <t>机关事业单位职业年金缴费支出</t>
  </si>
  <si>
    <t>对机关事业单位基本养老保险基金的补助</t>
  </si>
  <si>
    <t>年中调整至“机关事业单位基本养老保险缴费支出”科目列支。</t>
  </si>
  <si>
    <t>其他行政事业单位离退休支出</t>
  </si>
  <si>
    <t>（四）企业改革补助</t>
  </si>
  <si>
    <t>其他企业改革发展补助</t>
  </si>
  <si>
    <t>（五）就业补助</t>
  </si>
  <si>
    <t>职业培训补贴</t>
  </si>
  <si>
    <t>按上级文件要求调整至其他社会保障和就业支出科目列支，2019年已全部支出。</t>
  </si>
  <si>
    <t>高技能人才培养补助</t>
  </si>
  <si>
    <t>其他就业补助支出</t>
  </si>
  <si>
    <t>（六）抚恤</t>
  </si>
  <si>
    <t>死亡抚恤</t>
  </si>
  <si>
    <t>伤残抚恤</t>
  </si>
  <si>
    <t>优抚事业单位支出</t>
  </si>
  <si>
    <t>机构改革新设立区退役军人事务局，年中追加“双拥优属活动”项目经费。</t>
  </si>
  <si>
    <t>义务兵优待</t>
  </si>
  <si>
    <t>其他优抚支出</t>
  </si>
  <si>
    <t>（七）退役安置</t>
  </si>
  <si>
    <t>退役士兵安置</t>
  </si>
  <si>
    <t>机构改革新设立区退役军人事务局，年中追加“退役士兵安置”项目经费。</t>
  </si>
  <si>
    <t>退役士兵管理教育</t>
  </si>
  <si>
    <t>机构改革新设立区退役军人事务局，该局根据实际将该科目经费调整至其他退役安置支出科目。</t>
  </si>
  <si>
    <t>其他退役安置支出</t>
  </si>
  <si>
    <t>因2019年退役军人保障人数少于年初预计数，未支出651万元。</t>
  </si>
  <si>
    <t>（八）社会福利</t>
  </si>
  <si>
    <t>老年福利</t>
  </si>
  <si>
    <t>殡葬</t>
  </si>
  <si>
    <t>社会福利事业单位</t>
  </si>
  <si>
    <t>其他社会福利支出</t>
  </si>
  <si>
    <t>年中追加基建支出420万元。</t>
  </si>
  <si>
    <t>（九）残疾人事业</t>
  </si>
  <si>
    <t>残疾人康复</t>
  </si>
  <si>
    <t>残疾人就业和扶贫</t>
  </si>
  <si>
    <t>残疾人体育</t>
  </si>
  <si>
    <t>其他残疾人事业支出</t>
  </si>
  <si>
    <t>残疾人人数比年初预计数有增加，年中追加残疾人儿童康复救助补贴等费用1224万元。</t>
  </si>
  <si>
    <t>（十）自然灾害生活救助</t>
  </si>
  <si>
    <t>地方自然灾害生活补助</t>
  </si>
  <si>
    <t>其他自然灾害生活救助支出</t>
  </si>
  <si>
    <t>（十一）最低生活保障</t>
  </si>
  <si>
    <t>城市最低生活保障金支出</t>
  </si>
  <si>
    <t>（十二）临时救助</t>
  </si>
  <si>
    <t>流浪乞讨人员救助支出</t>
  </si>
  <si>
    <t>（十三）其他生活救助</t>
  </si>
  <si>
    <t>其他城市生活救助</t>
  </si>
  <si>
    <t>年中追加区民政局“社会福利救济金”项目经费。</t>
  </si>
  <si>
    <t>（十四）其他社会保障和就业支出</t>
  </si>
  <si>
    <t>其他社会保障和就业支出</t>
  </si>
  <si>
    <r>
      <rPr>
        <sz val="12"/>
        <color indexed="8"/>
        <rFont val="华文仿宋"/>
        <charset val="134"/>
      </rPr>
      <t>按上级文件要求将区民政局“人才发展专项资金”3</t>
    </r>
    <r>
      <rPr>
        <sz val="12"/>
        <color indexed="8"/>
        <rFont val="华文仿宋"/>
        <charset val="134"/>
      </rPr>
      <t>12</t>
    </r>
    <r>
      <rPr>
        <sz val="12"/>
        <color indexed="8"/>
        <rFont val="华文仿宋"/>
        <charset val="134"/>
      </rPr>
      <t>万元和区人力资源局“高层及人才资金”25985万元调整至该科目。</t>
    </r>
  </si>
  <si>
    <t>八、卫生健康支出</t>
  </si>
  <si>
    <t>（一）卫生健康管理事务</t>
  </si>
  <si>
    <t>区卫健局人员工资福利政策性增支。</t>
  </si>
  <si>
    <t>其他卫生健康管理事务支出</t>
  </si>
  <si>
    <t>（二）公立医院</t>
  </si>
  <si>
    <t>综合医院</t>
  </si>
  <si>
    <t>公立医院业务量多于年初预计数，年中追加公益性项目及政策性补贴4917万元。</t>
  </si>
  <si>
    <t>中医（民族）医院</t>
  </si>
  <si>
    <t>其他专科医院</t>
  </si>
  <si>
    <t>处理医疗欠费</t>
  </si>
  <si>
    <t>区卫健局根据实际分配给各医院使用，功能科目相应调整。</t>
  </si>
  <si>
    <t>其他公立医院支出</t>
  </si>
  <si>
    <t>年中追加基建支出107916万元，其中：龙岗区妇幼保健院扩建工程1208万元，龙岗区公立医院信息系统（区域医疗安全与质控管理）建设工程1320万元，龙岗区公立医院信息系统（区域医疗安全与质控管理）建设工程1480万元，龙岗区公立医院信息系统（区域医疗安全与质控管理）建设工程1365万元，龙岗区公立医院信息系统（区域医疗安全与质控管理）建设工程29691万元，深圳市龙岗区耳鼻咽喉医院迁址重建工程6560万元。</t>
  </si>
  <si>
    <t>（三）基层医疗卫生机构</t>
  </si>
  <si>
    <t>城市社区卫生机构</t>
  </si>
  <si>
    <t>其他基层医疗卫生机构支出</t>
  </si>
  <si>
    <t>区社管中心根据实际分配给各医院使用，功能科目相应调整。</t>
  </si>
  <si>
    <t>（四）公共卫生</t>
  </si>
  <si>
    <t>疾病预防控制机构</t>
  </si>
  <si>
    <t>年中追加区疾控中心第二类疫苗购置项目经费5478万元。</t>
  </si>
  <si>
    <t>卫生监督机构</t>
  </si>
  <si>
    <t>各卫生监督所人员工资福利政策性增支。</t>
  </si>
  <si>
    <t>妇幼保健机构</t>
  </si>
  <si>
    <t>采供血机构</t>
  </si>
  <si>
    <t>其他专业公共卫生机构</t>
  </si>
  <si>
    <t>基本公共卫生服务</t>
  </si>
  <si>
    <t>年中追加各社康中心基本公共卫生项目经费3523万元。</t>
  </si>
  <si>
    <t>重大公共卫生专项</t>
  </si>
  <si>
    <t>年中追加上级专项转移支付资金588万元和公卫支出92万元。</t>
  </si>
  <si>
    <t>突发公共卫生事件应急处理</t>
  </si>
  <si>
    <t>2019年没有出现突发公共卫生事件，该项经费未支出。</t>
  </si>
  <si>
    <t>其他公共卫生支出</t>
  </si>
  <si>
    <t>（五）中医药</t>
  </si>
  <si>
    <t>中医（民族医）药专项</t>
  </si>
  <si>
    <t>（六）计划生育事务</t>
  </si>
  <si>
    <t>计划生育服务</t>
  </si>
  <si>
    <t>其他计划生育事务支出</t>
  </si>
  <si>
    <t>（七）食品和药品监督管理事务</t>
  </si>
  <si>
    <t>食品安全事务</t>
  </si>
  <si>
    <t>其他食品和药品监督管理事务支出</t>
  </si>
  <si>
    <t>（八）行政事业单位医疗</t>
  </si>
  <si>
    <t>行政单位医疗</t>
  </si>
  <si>
    <t>事业单位医疗</t>
  </si>
  <si>
    <t>其他行政事业单位医疗支出</t>
  </si>
  <si>
    <t>（九）优抚对象医疗</t>
  </si>
  <si>
    <t>优抚对象医疗补助</t>
  </si>
  <si>
    <t>（十）其他卫生健康支出</t>
  </si>
  <si>
    <t>其他卫生健康支出</t>
  </si>
  <si>
    <t>九、节能环保支出</t>
  </si>
  <si>
    <t>（一）环境保护管理事务</t>
  </si>
  <si>
    <t>因机构改革原环保水务局环保职能划至市生态环境局龙岗管理局划转部门预算资金1759万元。</t>
  </si>
  <si>
    <t>生态环境保护宣传</t>
  </si>
  <si>
    <t>其他环境保护管理事务支出</t>
  </si>
  <si>
    <t>因机构改革原环保水务局环保职能划至市生态环境局龙岗管理局划转部门预算资金1295万元。</t>
  </si>
  <si>
    <t>（二）环境监测与监察</t>
  </si>
  <si>
    <t>其他环境监测与监察支出</t>
  </si>
  <si>
    <t>因机构改革原环保水务局环保职能划至市生态环境局龙岗管理局划转部门预算资金718万元。</t>
  </si>
  <si>
    <t>（三）污染防治</t>
  </si>
  <si>
    <t>水体</t>
  </si>
  <si>
    <t>部分水污染治理基建项目转从专项债券资金列支。</t>
  </si>
  <si>
    <t>（四）污染减排</t>
  </si>
  <si>
    <t>其他污染减排支出</t>
  </si>
  <si>
    <t>因机构改革原环保水务局环保职能划至市生态环境局龙岗管理局划转部门预算资金50万元。</t>
  </si>
  <si>
    <t>（五）循环经济</t>
  </si>
  <si>
    <t>循环经济</t>
  </si>
  <si>
    <t>十、城乡社区支出</t>
  </si>
  <si>
    <t>（一）城乡社区管理事务</t>
  </si>
  <si>
    <t>城管执法</t>
  </si>
  <si>
    <t>工程建设标准规范编制与监管</t>
  </si>
  <si>
    <t>工程建设管理</t>
  </si>
  <si>
    <t>其他城乡社区管理事务支出</t>
  </si>
  <si>
    <t>（二）城乡社区规划与管理(款)</t>
  </si>
  <si>
    <t>城乡社区规划与管理(项)</t>
  </si>
  <si>
    <t>年中追加南湾街道火灾高风险整治经费5158万元。</t>
  </si>
  <si>
    <t>（三）城乡社区公共设施</t>
  </si>
  <si>
    <t>小城镇基础设施建设</t>
  </si>
  <si>
    <t>年中追加2018年度街道城中村综合治理工作经费增加科目支出5837万元、各街道年中执行过程中将其他不再使用的项目资金调剂至小型基建增加支出1833万元，合计增支7670万元。</t>
  </si>
  <si>
    <t>其他城乡社区公共设施支出</t>
  </si>
  <si>
    <t>年中追加基建支出。</t>
  </si>
  <si>
    <t>（四）城乡社区环境卫生</t>
  </si>
  <si>
    <t>城乡社区环境卫生</t>
  </si>
  <si>
    <t>（五）建设市场管理与监督</t>
  </si>
  <si>
    <t>建设市场管理与监督</t>
  </si>
  <si>
    <t>（六）其他城乡社区支出</t>
  </si>
  <si>
    <t>其他城乡社区支出</t>
  </si>
  <si>
    <t>年中追加各街道水污染治理经费10322万元、人员工资福利政策性增支14278万元、“民生大盆菜”专项资金19748万元、上级专项转移支付资金（城市环境品质提升专项行动经费）3982万元，坂田街道森林植被恢复费415万元，宝龙交警中队支出217万元、营商环境支出126万元。</t>
  </si>
  <si>
    <t>其他城乡社区支出(项)</t>
  </si>
  <si>
    <t>十一、农林水支出</t>
  </si>
  <si>
    <t>（一）农业</t>
  </si>
  <si>
    <t>科技转化与推广服务</t>
  </si>
  <si>
    <t>碧岭科技园日常管理费用部分调剂用于区工信局碧岭聘员解聘经费，功能科目相应调整。</t>
  </si>
  <si>
    <t>病虫害控制</t>
  </si>
  <si>
    <t>农产品质量安全</t>
  </si>
  <si>
    <t>执法监管</t>
  </si>
  <si>
    <t>农业资源保护修复与利用</t>
  </si>
  <si>
    <t>其他农业支出</t>
  </si>
  <si>
    <t>因机构改革原区工信局水检中心、动物防疫所和农产品检验站等单位划转市本级，部门预算资金不再执行。</t>
  </si>
  <si>
    <t>（二）林业和草原</t>
  </si>
  <si>
    <t>森林培育</t>
  </si>
  <si>
    <t>动植物保护</t>
  </si>
  <si>
    <t>年中追加区城管局动植物保护经费29万元。</t>
  </si>
  <si>
    <t>执法与监督</t>
  </si>
  <si>
    <t>林业检疫检测</t>
  </si>
  <si>
    <t>防灾减灾</t>
  </si>
  <si>
    <t>因机构改革区绿委办部分部门预算资金275万元划转至区应急管理局，功能科目相应调整。</t>
  </si>
  <si>
    <t>其他林业和草原支出</t>
  </si>
  <si>
    <t>（三）水利</t>
  </si>
  <si>
    <t>水利行业业务管理</t>
  </si>
  <si>
    <t>龙口和炳坑水库工资福利政策性增支。</t>
  </si>
  <si>
    <t>水利工程建设</t>
  </si>
  <si>
    <t>优质饮用水工程建设资金转从国土基金列支。</t>
  </si>
  <si>
    <t>水利工程运行与维护</t>
  </si>
  <si>
    <t>水土保持</t>
  </si>
  <si>
    <t>水资源节约管理与保护</t>
  </si>
  <si>
    <t>防汛</t>
  </si>
  <si>
    <t>其他水利支出</t>
  </si>
  <si>
    <t>（四）扶贫</t>
  </si>
  <si>
    <t>其他扶贫支出</t>
  </si>
  <si>
    <t>（五）其他农林水支出</t>
  </si>
  <si>
    <t>其他农林水支出</t>
  </si>
  <si>
    <t>十二、交通运输支出</t>
  </si>
  <si>
    <t>（一）公路水路运输</t>
  </si>
  <si>
    <t>公路建设</t>
  </si>
  <si>
    <t>年中追加基建支出1862万元，其中：水田路改造工程审计决算资金290万元，水田路改造工程审计决算资金165万元，水田路改造工程审计决算资金689万元。</t>
  </si>
  <si>
    <t>公路和运输安全</t>
  </si>
  <si>
    <t>十三、资源勘探信息等支出</t>
  </si>
  <si>
    <t>（一）制造业</t>
  </si>
  <si>
    <t>其他制造业支出</t>
  </si>
  <si>
    <t>（二） 工业和信息产业监管</t>
  </si>
  <si>
    <t xml:space="preserve"> 工业和信息产业支持</t>
  </si>
  <si>
    <t>（三）安全生产监管</t>
  </si>
  <si>
    <t>安全监管监察专项</t>
  </si>
  <si>
    <t>应急救援支出</t>
  </si>
  <si>
    <t>其他安全生产监管支出</t>
  </si>
  <si>
    <t>（四）国有资产监管</t>
  </si>
  <si>
    <t xml:space="preserve">    行政运行</t>
  </si>
  <si>
    <t xml:space="preserve">    一般行政管理事务</t>
  </si>
  <si>
    <t>其他国有资产监管支出</t>
  </si>
  <si>
    <t>（五）其他资源勘探信息等支出(款)</t>
  </si>
  <si>
    <t>其他资源勘探信息等支出(项)</t>
  </si>
  <si>
    <t>十四、商业服务业等支出</t>
  </si>
  <si>
    <t>（一）商业流通事务</t>
  </si>
  <si>
    <t>（二）旅游业管理与服务支出</t>
  </si>
  <si>
    <t>援助其他地区支出</t>
  </si>
  <si>
    <t>十五、国土海洋气象等支出</t>
  </si>
  <si>
    <t>（一）自然资源事务</t>
  </si>
  <si>
    <t>国土整治</t>
  </si>
  <si>
    <t>其他自然资源事务支出</t>
  </si>
  <si>
    <t>十六、住房保障支出</t>
  </si>
  <si>
    <t>（一）保障性安居工程支出</t>
  </si>
  <si>
    <t>其他保障性安居工程支出</t>
  </si>
  <si>
    <t>年中追加区住房保障中心“人才发展专项资金”515万元。</t>
  </si>
  <si>
    <t>（二）住房改革支出</t>
  </si>
  <si>
    <t>住房公积金</t>
  </si>
  <si>
    <t>购房补贴</t>
  </si>
  <si>
    <t>（三）城乡社区住宅</t>
  </si>
  <si>
    <t>其他城乡社区住宅支出</t>
  </si>
  <si>
    <t>十七、粮油物资储备支出</t>
  </si>
  <si>
    <t>（一）粮油储备</t>
  </si>
  <si>
    <t>储备粮油补贴</t>
  </si>
  <si>
    <t>十八、灾害防治及应急管理支出</t>
  </si>
  <si>
    <t>（一）应急管理事务</t>
  </si>
  <si>
    <t>因机构改革区应急管理局人员经费由应急管理办、区安监局、消安委办等单位并入增加支出 。</t>
  </si>
  <si>
    <t>因机构改革区应急管理局公用经费由应急管理办、区安监局、消安委办等单位并入增加支出 。</t>
  </si>
  <si>
    <t>安全监管</t>
  </si>
  <si>
    <t>安全生产专项政府采购项目尾款未支出。</t>
  </si>
  <si>
    <t>应急救援</t>
  </si>
  <si>
    <t>应急管理</t>
  </si>
  <si>
    <t>（二）消防事务</t>
  </si>
  <si>
    <t xml:space="preserve">区消安委办因机构改革并入区应急管理局减少支出。 </t>
  </si>
  <si>
    <t xml:space="preserve">  一般行政管理事务</t>
  </si>
  <si>
    <t>区消安委办调剂增加消防系统维护经费。</t>
  </si>
  <si>
    <t>消防应急救援</t>
  </si>
  <si>
    <t>其他消防事务支出</t>
  </si>
  <si>
    <t>年中追加基建支出11011万元，其中：横岗、园山、龙城、龙岗、宝龙、平湖街道辖区消火栓“市投区建”建设工程5208万元。</t>
  </si>
  <si>
    <t xml:space="preserve">  （三)森林消防事务</t>
  </si>
  <si>
    <t>其他森林消防事务支出</t>
  </si>
  <si>
    <t>因机构改革森林消防经费由区绿委办调剂至应急管理局，列支森林消防经费241万元。</t>
  </si>
  <si>
    <t>（四）自然灾害防治</t>
  </si>
  <si>
    <t>其他自然灾害防治支出</t>
  </si>
  <si>
    <t>2019年追加应急管理局三防经费。</t>
  </si>
  <si>
    <t xml:space="preserve">  （五）其他灾害防治及应急管理支出</t>
  </si>
  <si>
    <t>因机构改革创建综合减灾文明示范社区经费6万元由区民政调剂至区应急管理局，功能科目相应调整。</t>
  </si>
  <si>
    <t>十九、财政预备费</t>
  </si>
  <si>
    <t>二十、其他支出</t>
  </si>
  <si>
    <t>（一）其他支出</t>
  </si>
  <si>
    <t>其他支出</t>
  </si>
  <si>
    <t>年初预算安排的财政统筹类支出在预算执行中根据实际支出转列相应功能科目。</t>
  </si>
  <si>
    <t>二十一、债务付息支出</t>
  </si>
  <si>
    <t>（一）地方政府一般债务付息支出</t>
  </si>
  <si>
    <t>地方政府一般债券付息支出</t>
  </si>
  <si>
    <t>地方政府其他一般债务付息支出</t>
  </si>
  <si>
    <t>一般公共预算支出合计</t>
  </si>
  <si>
    <t>转移性支出</t>
  </si>
  <si>
    <t xml:space="preserve">   上解上级支出</t>
  </si>
  <si>
    <t xml:space="preserve">   调出资金</t>
  </si>
  <si>
    <t xml:space="preserve">  补充预算稳定调节基金</t>
  </si>
  <si>
    <t xml:space="preserve">        补充预算周转金</t>
  </si>
  <si>
    <t xml:space="preserve">        其他调出资金</t>
  </si>
  <si>
    <t xml:space="preserve">    结转下年</t>
  </si>
  <si>
    <t xml:space="preserve"> 地方政府一般债务还本支出</t>
  </si>
  <si>
    <t xml:space="preserve"> 地方政府一般债务转贷支出</t>
  </si>
  <si>
    <t xml:space="preserve">    援助其他地区支出</t>
  </si>
  <si>
    <t>一般公共预算总支出总计</t>
  </si>
  <si>
    <t>附件1-3：</t>
  </si>
  <si>
    <t>龙岗区2019年一般公共预算支出预算（草案）表
（按经济科目不含转移性支出）</t>
  </si>
  <si>
    <t>名称</t>
  </si>
  <si>
    <t>备注</t>
  </si>
  <si>
    <t>合计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</si>
  <si>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</si>
  <si>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</si>
  <si>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</si>
  <si>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</si>
  <si>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</si>
  <si>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</si>
  <si>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</si>
  <si>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</si>
  <si>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</si>
  <si>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</si>
  <si>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</si>
  <si>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</si>
  <si>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</si>
  <si>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</si>
  <si>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</si>
  <si>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</si>
  <si>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</si>
  <si>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</si>
  <si>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</si>
  <si>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</si>
  <si>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</si>
  <si>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</si>
  <si>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</si>
  <si>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</si>
  <si>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</si>
  <si>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 xml:space="preserve"> 房屋建筑物购建</t>
  </si>
  <si>
    <t>公务用车购置</t>
  </si>
  <si>
    <t>五、对事业单位经常性补助</t>
  </si>
  <si>
    <t xml:space="preserve"> 工资福利支出</t>
  </si>
  <si>
    <t>商品和服务支出</t>
  </si>
  <si>
    <t>其他对事业单位补助</t>
  </si>
  <si>
    <t>六、对事业单位资本性补助</t>
  </si>
  <si>
    <t>资本性支出（一）</t>
  </si>
  <si>
    <t>资本性支出（二）</t>
  </si>
  <si>
    <t>七、对企业补助</t>
  </si>
  <si>
    <t xml:space="preserve"> 费用补贴</t>
  </si>
  <si>
    <t xml:space="preserve"> 其他对企业补助</t>
  </si>
  <si>
    <t>八、对企业资本性支出</t>
  </si>
  <si>
    <t xml:space="preserve"> 对企业资本性支出（一）</t>
  </si>
  <si>
    <t>对企业资本性支出（二）</t>
  </si>
  <si>
    <t>九、对个人和家庭补助</t>
  </si>
  <si>
    <t xml:space="preserve"> 社会福利和救助</t>
  </si>
  <si>
    <t xml:space="preserve"> 助学金</t>
  </si>
  <si>
    <t>个人农业生产补贴</t>
  </si>
  <si>
    <t xml:space="preserve"> 离退休费</t>
  </si>
  <si>
    <t xml:space="preserve"> 其他对个人和家庭的补助</t>
  </si>
  <si>
    <t>对社会保障基金补助</t>
  </si>
  <si>
    <t>对社会保险基金补助</t>
  </si>
  <si>
    <t>十、债务利息及费用支出</t>
  </si>
  <si>
    <t>国内债务付息</t>
  </si>
  <si>
    <t>十一、预备费及预留</t>
  </si>
  <si>
    <t>预备费</t>
  </si>
  <si>
    <t>预算准备金</t>
  </si>
  <si>
    <t>十二、其他支出</t>
  </si>
  <si>
    <t>对民间非营利组织和群众性自治组织补贴</t>
  </si>
  <si>
    <t xml:space="preserve"> 其他支出</t>
  </si>
  <si>
    <t>附件1-4：</t>
  </si>
  <si>
    <t>龙岗区2019年上级转移支付执行情况表</t>
  </si>
  <si>
    <t>一、税收返还收入</t>
  </si>
  <si>
    <t>序号</t>
  </si>
  <si>
    <t>返还收入项目</t>
  </si>
  <si>
    <t>金额</t>
  </si>
  <si>
    <t>总计</t>
  </si>
  <si>
    <t>增值税和消费税基数返还收入</t>
  </si>
  <si>
    <t>所得税基数返还收入</t>
  </si>
  <si>
    <t>结算补助收入（定额）</t>
  </si>
  <si>
    <t>二、体制结算补助收入汇总</t>
  </si>
  <si>
    <t>资金用途</t>
  </si>
  <si>
    <t>执行情况</t>
  </si>
  <si>
    <t>东深供水收入地方分成专项补助</t>
  </si>
  <si>
    <t>统筹安排</t>
  </si>
  <si>
    <t>第五轮体制结算定额补助</t>
  </si>
  <si>
    <t>基层经费补助</t>
  </si>
  <si>
    <t>农业转移人口市民化奖励资金</t>
  </si>
  <si>
    <t>大企业跨区迁移补偿-2016-2018年</t>
  </si>
  <si>
    <t>2019年起市检察院职能划转经费</t>
  </si>
  <si>
    <t>道路品质提升项目</t>
  </si>
  <si>
    <t>三、2019年上级转移支付汇总</t>
  </si>
  <si>
    <t>文号</t>
  </si>
  <si>
    <t>深财预﹝2019﹞463号</t>
  </si>
  <si>
    <t>一般公共服务支出</t>
  </si>
  <si>
    <t>提前下达2018年度城市志愿服务U站考核经费</t>
  </si>
  <si>
    <t>年初已纳入部门预算</t>
  </si>
  <si>
    <t>深财预﹝2019﹞453号</t>
  </si>
  <si>
    <t>提前下达市党代表团组活动经费</t>
  </si>
  <si>
    <t>深财预﹝2019﹞577号</t>
  </si>
  <si>
    <t>粤财行﹝2018﹞235号关于提前下达2019年省党员干部现代远程教育工作经费的通知</t>
  </si>
  <si>
    <t>指标已下达</t>
  </si>
  <si>
    <t>深财预﹝2019﹞623号</t>
  </si>
  <si>
    <t>粤财建﹝2017﹞173号关于提前下达2018年区域协调发展战略专项（基建投资用途）指标的通知</t>
  </si>
  <si>
    <t>深财预﹝2019﹞1145号</t>
  </si>
  <si>
    <t>粤财社﹝2018﹞226号提前下达2019年“妇女之家”示范点建设项目经费</t>
  </si>
  <si>
    <t>深财预﹝2019﹞1424号</t>
  </si>
  <si>
    <t>拨付市级信访维稳备用金用于解决南湾“10.26”信访案件</t>
  </si>
  <si>
    <t>一般公共服务支出总计</t>
  </si>
  <si>
    <t>深财预﹝2019﹞473号</t>
  </si>
  <si>
    <t>公共安全支出</t>
  </si>
  <si>
    <t>提前下达2019年度政法转移支付资金（其中司法行政部门63万元）</t>
  </si>
  <si>
    <t>深财预内﹝2019﹞16号</t>
  </si>
  <si>
    <t>下达2018年中央政法转移支付资金（财行﹝2018﹞77号、财行﹝2017﹞0413号）其中：司法部门29万元</t>
  </si>
  <si>
    <t>公共安全支出总计</t>
  </si>
  <si>
    <t>深财预﹝2019﹞65号</t>
  </si>
  <si>
    <t>教育支出</t>
  </si>
  <si>
    <t>财科教﹝2018﹞127号提前下达2019年学生资助补助经费（普通高中部分）</t>
  </si>
  <si>
    <t>深财预﹝2019﹞77号</t>
  </si>
  <si>
    <t>财科教﹝2018﹞114号提前下达2019年现代职业教育质量提升计划专项资金</t>
  </si>
  <si>
    <t>深财预﹝2019﹞59号</t>
  </si>
  <si>
    <t>财科教﹝2018﹞115号提前下达2019年学生资助补助经费（中等职业学校国家助学金和免学费补助资金）</t>
  </si>
  <si>
    <t>深财预﹝2019﹞85号</t>
  </si>
  <si>
    <t>财科教﹝2018﹞123号提前下达2019年支持学前教育发展资金</t>
  </si>
  <si>
    <t>深财预﹝2019﹞362号</t>
  </si>
  <si>
    <t>提前下达2019年市级民办教育发展专项资金</t>
  </si>
  <si>
    <t>深财预﹝2019﹞372号</t>
  </si>
  <si>
    <t>提前下达2019年学前教育专项经费</t>
  </si>
  <si>
    <t>深财预﹝2019﹞352号</t>
  </si>
  <si>
    <t>提前下达2019年地方教育附加用于中小学教育59971万元（其中民办教育13793万元）、学前教育10583万元</t>
  </si>
  <si>
    <t>深财预﹝2019﹞342号</t>
  </si>
  <si>
    <t>提前下达2019年深圳市教育费附加,其中生均分配84744万元（含民办教育15254万元）,职业教育16142万元</t>
  </si>
  <si>
    <t>深财预﹝2019﹞540号</t>
  </si>
  <si>
    <t>提前下达2019年完善义务教育经费保障市本级（含中央）财政补助资金</t>
  </si>
  <si>
    <t>深财预﹝2019﹞556号</t>
  </si>
  <si>
    <t>2019年1月市投区建项目指标（深发改﹝2019﹞142号100万元 2059999）</t>
  </si>
  <si>
    <t>深财预﹝2019﹞315号</t>
  </si>
  <si>
    <t>粤财教﹝2018﹞366号关于提前下达2019年建档立卡学生免学费和生活费补助资金</t>
  </si>
  <si>
    <t>深财预﹝2019﹞644号</t>
  </si>
  <si>
    <t>下达2019年市本级统筹教育费附加资助项目经费预算</t>
  </si>
  <si>
    <t>深财预﹝2019﹞751号</t>
  </si>
  <si>
    <t>粤财教﹝2019﹞71号下达2019年教育发展专项资金（推进教育现代化及农村义务教育寄宿制学校建设用途）校园足球资金</t>
  </si>
  <si>
    <t>深财预﹝2019﹞758号</t>
  </si>
  <si>
    <t>粤财教﹝2019﹞67号下达2019年教育发展专项资金（强师工程）</t>
  </si>
  <si>
    <t>深财预﹝2019﹞833号</t>
  </si>
  <si>
    <t>清算2018年教育费附加专项转移支付﹝其中生均分配11474万元（含民办教育2065万元），职业教育1711万元﹞</t>
  </si>
  <si>
    <t>深财预﹝2019﹞824号</t>
  </si>
  <si>
    <t>清算2017、2018年地方教育费附加专项转移支付（含2017年民办教育4432万元、2018年民办教育18415万元）</t>
  </si>
  <si>
    <t>深财预调﹝2019﹞37号</t>
  </si>
  <si>
    <t>划转2019年央视春晚项目经费</t>
  </si>
  <si>
    <t>深财预﹝2019﹞860号</t>
  </si>
  <si>
    <t>财科教﹝2019﹞20号财政部教育部关于提前下达2019年支持学前教育发展资金预算的通知</t>
  </si>
  <si>
    <t>深财预﹝2019﹞927号</t>
  </si>
  <si>
    <t>财科教﹝2019﹞30号财政部 教育部下达2019年城乡义务教育补助经费预算</t>
  </si>
  <si>
    <t>深财预﹝2019﹞939号</t>
  </si>
  <si>
    <t>财科教﹝2019﹞35号财政部 教育部 人力资源社会保障部下达2019年学生资助补助经费预算</t>
  </si>
  <si>
    <t>深财预﹝2019﹞961号</t>
  </si>
  <si>
    <t>（深发改﹝2019﹞528号 2050204）2019年5月市投区建项目指标</t>
  </si>
  <si>
    <t>深财预﹝2019﹞1017号</t>
  </si>
  <si>
    <t>财科教﹝2019﹞32号财政部 教育部下达2019年现代职业教育质量提升计划专项资金预算</t>
  </si>
  <si>
    <t>深财预﹝2019﹞1036号</t>
  </si>
  <si>
    <t>市政府六届一百七十四次常务会议安排2019年深圳外国语学校（龙岗）国际部永久校区项目转移支付资金</t>
  </si>
  <si>
    <t>深财预调﹝2019﹞108号</t>
  </si>
  <si>
    <t>下达（学前专项资金）2015-2018年优质办学奖励经费</t>
  </si>
  <si>
    <t>深财预﹝2019﹞1226号</t>
  </si>
  <si>
    <t>下达2018年土地出让收益中计提教育资金</t>
  </si>
  <si>
    <t>深财预﹝2019﹞1386号</t>
  </si>
  <si>
    <t>深财预﹝2019﹞1453号</t>
  </si>
  <si>
    <t>下达2019年上岗退费经费</t>
  </si>
  <si>
    <t>深财预﹝2019﹞1532号</t>
  </si>
  <si>
    <t>粤财教﹝2019﹞67号下达教育发展专项资金（强师工程）</t>
  </si>
  <si>
    <t>深财预﹝2019﹞1540号</t>
  </si>
  <si>
    <t>粤财教﹝2019﹞63号下达2019年教育发展专项资金（教育政务管理）第一批（备战第十四届全国学生运动会）</t>
  </si>
  <si>
    <t>部门结转30万元
至2020年使用</t>
  </si>
  <si>
    <t>深财预﹝2019﹞1616号</t>
  </si>
  <si>
    <t>市政府六届一百八十七次常务会议安排2019年高职院校扩招经费</t>
  </si>
  <si>
    <t>深财预调﹝2019﹞161号</t>
  </si>
  <si>
    <t>下达2019年结对帮扶项目经费</t>
  </si>
  <si>
    <t>部门结转40万元
至2020年使用</t>
  </si>
  <si>
    <t>12月17日新增，在2020年预算口安排</t>
  </si>
  <si>
    <t>深财预调﹝2019﹞181号</t>
  </si>
  <si>
    <t>下拨2019年粤港澳青少年交流工作资助经费</t>
  </si>
  <si>
    <t>部门结转96.28万元
至2020年使用</t>
  </si>
  <si>
    <t>12月19日新增，在2020年预算口安排</t>
  </si>
  <si>
    <t>教育支出总计</t>
  </si>
  <si>
    <t>深财预﹝2019﹞765号</t>
  </si>
  <si>
    <t>科学技术支出</t>
  </si>
  <si>
    <t>粤财教﹝2019﹞56号下达2019年中央下达地方基层科普行动计划和广东省基层科普行动计划项目资金</t>
  </si>
  <si>
    <t>深财预调﹝2019﹞86号</t>
  </si>
  <si>
    <t>下达2018年国家高新技术企业认定奖补资金</t>
  </si>
  <si>
    <t>深财预调﹝2019﹞77号</t>
  </si>
  <si>
    <t>下达2019年第一批科技计划项目资金</t>
  </si>
  <si>
    <t>深财预﹝2019﹞1515号</t>
  </si>
  <si>
    <t>粤财科教﹝2019﹞159号安排2019年度省科技创新战略专项资金（自然科学基金）</t>
  </si>
  <si>
    <t>深财预调﹝2019﹞20号</t>
  </si>
  <si>
    <t>深财科﹝2019﹞33号下达2019年科技计划区级续建项目资金</t>
  </si>
  <si>
    <t>深财预﹝2019﹞1521号</t>
  </si>
  <si>
    <t>粤财科教﹝2019﹞165号下达2019年乡村振兴战略专项资金（省文化和旅游厅负责部分，第三批）</t>
  </si>
  <si>
    <t>深财预﹝2019﹞1655号</t>
  </si>
  <si>
    <t>12.18新增</t>
  </si>
  <si>
    <t>科学技术支出总计</t>
  </si>
  <si>
    <t>深财预﹝2019﹞43号</t>
  </si>
  <si>
    <t>文化体育与传媒支出</t>
  </si>
  <si>
    <t>（财文﹝2018﹞116号）财政部关于提前下达美术馆公共图书馆文化馆（站）免费开放专项资金2019年预算指标的通知</t>
  </si>
  <si>
    <t>深财预调﹝2019﹞13号</t>
  </si>
  <si>
    <t>下达市文化事业建设费及宣传文化事业发展专项资金2019年度资金计划</t>
  </si>
  <si>
    <t>深财预调﹝2019﹞27号</t>
  </si>
  <si>
    <t>财文﹝2018﹞122号提前下达中央补助地方公共文化服务体系建设专项资金2019年预算指标</t>
  </si>
  <si>
    <t>深财预﹝2019﹞849号</t>
  </si>
  <si>
    <t>粤财教﹝2019﹞105号下达2019年文化繁荣发展专项资金（公共文化体系建设、文化产业发展及非物质遗产保护用途）的通知</t>
  </si>
  <si>
    <t>深财预调﹝2019﹞46号</t>
  </si>
  <si>
    <t>下达2019年度深圳市文化遗产保护补助经费</t>
  </si>
  <si>
    <t>深财预调﹝2019﹞96号</t>
  </si>
  <si>
    <t>下达2019年文物保护专项经费</t>
  </si>
  <si>
    <t>部门结转15.24万元
至2020年使用</t>
  </si>
  <si>
    <t>深财预﹝2019﹞1237号</t>
  </si>
  <si>
    <t>粤财教﹝2019﹞105号 下达2019年文化繁荣发展专项资金（公共文化服务体系建设、文化产业发展及非物资遗产保护用途）</t>
  </si>
  <si>
    <t>部门结转4.80万元
至2020年使用</t>
  </si>
  <si>
    <t>深财预﹝2019﹞1686号</t>
  </si>
  <si>
    <t>财文﹝2019﹞28号下达2019年中央补助地方公共文化服务系统建设专项资金</t>
  </si>
  <si>
    <t>部门结转46万元
至2020年使用</t>
  </si>
  <si>
    <t>12.23新增</t>
  </si>
  <si>
    <t>文化体育与传媒支出总计</t>
  </si>
  <si>
    <t>深财预﹝2019﹞13号</t>
  </si>
  <si>
    <t>社会保障和就业支出</t>
  </si>
  <si>
    <t>（财社﹝2018﹞152号）财政部关于提前下达2019年优抚对象补助经费预算的通知</t>
  </si>
  <si>
    <t>深财预﹝2019﹞141号</t>
  </si>
  <si>
    <t>财社﹝2018﹞143号提前下达2019年中央专项转移支付资金</t>
  </si>
  <si>
    <t>深财预﹝2019﹞8号</t>
  </si>
  <si>
    <t>财社﹝2018﹞147号提前下达2019年退役安置补助经费</t>
  </si>
  <si>
    <t>深财预﹝2019﹞397号</t>
  </si>
  <si>
    <t>提前下达残疾人就业保障金</t>
  </si>
  <si>
    <t>深财预﹝2019﹞494号</t>
  </si>
  <si>
    <t>粤财政法﹝2019﹞7号关于提前安排省财政2019年拥军优属慰问活动经费预算的通知</t>
  </si>
  <si>
    <t>深财预﹝2019﹞499号</t>
  </si>
  <si>
    <t>粤财社﹝2018﹞247号关于提前下达2019年残疾人事业发展中央补助资金的通知</t>
  </si>
  <si>
    <t>深财预﹝2019﹞632号</t>
  </si>
  <si>
    <t>财社﹝2018﹞145号财政部人力资源社会保障部关于提前下达2019年就业补助资金预算指标的通知</t>
  </si>
  <si>
    <t>深财预﹝2019﹞876号</t>
  </si>
  <si>
    <t>财社﹝2019﹞43号财政部人力资源社会保障部关于下达2019年就业补助资金预算的通知</t>
  </si>
  <si>
    <t>深财预﹝2019﹞901号</t>
  </si>
  <si>
    <t>财政部 民政部下达2019年中央财政困难群众救助补助资金预算（低保、特困、和临时救助保障资金）</t>
  </si>
  <si>
    <t>深财预﹝2019﹞895号</t>
  </si>
  <si>
    <t>财政部 民政部下达2019年中央财政困难群众救助补助资金预算（流浪乞讨人员救助资金）</t>
  </si>
  <si>
    <t>深财预﹝2019﹞893号</t>
  </si>
  <si>
    <t>财政部 民政部下达2019年中央财政困难群众救助补助资金预算（孤儿基本生活保障资金）</t>
  </si>
  <si>
    <t>深财预﹝2019﹞1299号</t>
  </si>
  <si>
    <t>财社﹝2019﹞120号财政部下达2019年优抚对象医疗保障经费预算</t>
  </si>
  <si>
    <t>深财预﹝2019﹞1289号</t>
  </si>
  <si>
    <t>财社﹝2019﹞115号财政部下达2019年优抚对象补助经费预算（第一批）</t>
  </si>
  <si>
    <t>部门结转93万元
至2020年使用</t>
  </si>
  <si>
    <t>深财预﹝2019﹞1354号</t>
  </si>
  <si>
    <t>财社﹝2019﹞126号财政部下达2019年优抚对象补助经费预算（第二批）</t>
  </si>
  <si>
    <t>部门结转18万元
至2020年使用</t>
  </si>
  <si>
    <t>深财预内﹝2019﹞52号</t>
  </si>
  <si>
    <t>财社﹝2019﹞137号下达2019年退役安置补助经费</t>
  </si>
  <si>
    <t>部门结转80.60万元
至2020年使用</t>
  </si>
  <si>
    <t>社会保障和就业支出总计</t>
  </si>
  <si>
    <t>深财预﹝2019﹞23号</t>
  </si>
  <si>
    <t>卫生健康支出</t>
  </si>
  <si>
    <t>（财社﹝2018﹞154号）财政部关于提前下达2019年优抚对象补助经费预算的通知</t>
  </si>
  <si>
    <t>深财预﹝2019﹞117号</t>
  </si>
  <si>
    <t>财社﹝2018﹞162号提前下达2019年公共卫生服务（基本公共卫生）补助资金</t>
  </si>
  <si>
    <t>深财预﹝2019﹞128号</t>
  </si>
  <si>
    <t>财社﹝2018﹞163号提前下达2019年基本药物制度补助资金</t>
  </si>
  <si>
    <t>深财预﹝2019﹞510号</t>
  </si>
  <si>
    <t>粤财社﹝2018﹞277号关于提前下达2019年医疗卫生健康事业发展专项资金（传承发展中医药事业）的通知</t>
  </si>
  <si>
    <t>部门结转1.2万元
至2020年使用</t>
  </si>
  <si>
    <t>深财预﹝2019﹞521号</t>
  </si>
  <si>
    <t>粤财社﹝2018﹞290号关于提前下达2019年重大公共卫生服务等3项中央财政补助资金的通知</t>
  </si>
  <si>
    <t>部门结转5万元
至2020年使用</t>
  </si>
  <si>
    <t>深财预﹝2019﹞794号</t>
  </si>
  <si>
    <t>粤财社﹝2019﹞42号安排2019年省级医疗卫生健康事业发展专项资金（第一批）</t>
  </si>
  <si>
    <t>部门结转0.5万元
至2020年使用</t>
  </si>
  <si>
    <t>深财预﹝2019﹞975号</t>
  </si>
  <si>
    <t>财社﹝2018﹞167号提前下达2019年医疗服务能力提升（公立医院综合改革）补助资金预算</t>
  </si>
  <si>
    <t>深财预﹝2019﹞983号</t>
  </si>
  <si>
    <t>财社﹝2019﹞45号财政部 国家卫生健康委 国家中医药局下达2019年医疗服务与保障能力提升（公立医院综合改革）补助资金预算</t>
  </si>
  <si>
    <t>部门结转17.63万元
至2020年使用</t>
  </si>
  <si>
    <t>深财预﹝2019﹞999号</t>
  </si>
  <si>
    <t>财社﹝2019﹞52号财政部 国家卫生健康委下达2019年基本公共卫生服务补助资金预算</t>
  </si>
  <si>
    <t>深财预﹝2019﹞1127号</t>
  </si>
  <si>
    <t>粤财社﹝2019﹞76号安排中央2019年医疗服务与保障能力提升补助资金（中医药事业传承与发展部分）</t>
  </si>
  <si>
    <t>部门结转4.02万元
至2020年使用</t>
  </si>
  <si>
    <t>深财预﹝2019﹞1199号</t>
  </si>
  <si>
    <t>粤财社﹝2019﹞120号安排计划生育目标管理责任制考核奖励资金</t>
  </si>
  <si>
    <t>深财预﹝2019﹞1398号</t>
  </si>
  <si>
    <t>财社﹝2019﹞77号财政部 国家卫生健康委下达2019年重大传染病防控经费预算</t>
  </si>
  <si>
    <t>部门结转107.80万元
至2020年使用</t>
  </si>
  <si>
    <t>深财预调﹝2019﹞121号</t>
  </si>
  <si>
    <t>下达2018年度人口和计划生育目标责任制考评奖</t>
  </si>
  <si>
    <t>深财预调﹝2019﹞133号</t>
  </si>
  <si>
    <t>调剂下达2017-2018年度卫生科研资助经费</t>
  </si>
  <si>
    <t>部门结转10万元
至2020年使用</t>
  </si>
  <si>
    <t>深财预﹝2019﹞1460号</t>
  </si>
  <si>
    <t>（财社﹝2019﹞52号）下达2019年基本公共卫生服务补助资金</t>
  </si>
  <si>
    <t>卫生健康支出总计</t>
  </si>
  <si>
    <t>深财预﹝2019﹞433号</t>
  </si>
  <si>
    <t>节能环保支出</t>
  </si>
  <si>
    <t>提前下达污水处理费返拨</t>
  </si>
  <si>
    <t>深财预﹝2019﹞555号</t>
  </si>
  <si>
    <t>（深发改﹝2019﹞145号）2019年1月市投区建项目指标</t>
  </si>
  <si>
    <t>深财预﹝2019﹞810号</t>
  </si>
  <si>
    <t>（深发改﹝2019﹞354号)下达2019年4月市投区建项目指标</t>
  </si>
  <si>
    <t>节能环保支出总计</t>
  </si>
  <si>
    <t>深财预﹝2019﹞739号</t>
  </si>
  <si>
    <t>城乡社区支出</t>
  </si>
  <si>
    <t>下达2018年度城市绿化补贴经费</t>
  </si>
  <si>
    <t>部门结转112.50万元至2020年使用</t>
  </si>
  <si>
    <t>深财预﹝2019﹞916号</t>
  </si>
  <si>
    <t>下达2018年市容环境综合考核奖励经费</t>
  </si>
  <si>
    <t>部门结转8.29万元
至2020年使用</t>
  </si>
  <si>
    <t>深财预﹝2019﹞946号</t>
  </si>
  <si>
    <t>下达2019年第一季度城市环境品质提升行动优秀项目市财政支持资金</t>
  </si>
  <si>
    <t>部门结转0.58万元
至2020年使用</t>
  </si>
  <si>
    <t>深财预﹝2019﹞1344号</t>
  </si>
  <si>
    <t>下达2019年第二季度第1批城市环境品质提升行动优秀项目市财政支持资金</t>
  </si>
  <si>
    <t>部门结转602.41万元
至2020年使用</t>
  </si>
  <si>
    <t>深财预﹝2019﹞1436号</t>
  </si>
  <si>
    <t>市政府六届一百八十六次常务会议安排城市环境品质提升资金</t>
  </si>
  <si>
    <t>部门结转141.98万元
至2020年使用</t>
  </si>
  <si>
    <t>深财预﹝2019﹞1476号</t>
  </si>
  <si>
    <t>下达2018年度“提升城市安全 普及天然气”奖励资金</t>
  </si>
  <si>
    <t>城乡社区支出总计</t>
  </si>
  <si>
    <t>深财预﹝2019﹞407号</t>
  </si>
  <si>
    <t>农林水支出</t>
  </si>
  <si>
    <t>提前下达优质饮用水入户资金</t>
  </si>
  <si>
    <t>深财预﹝2019﹞413号</t>
  </si>
  <si>
    <t>提前下达原特区外社区供水管网改造资金</t>
  </si>
  <si>
    <t>深财预﹝2019﹞421号</t>
  </si>
  <si>
    <t>提前下达二次供水设施改造资金</t>
  </si>
  <si>
    <t>深财预﹝2019﹞427号</t>
  </si>
  <si>
    <t>提前下达林地管理费</t>
  </si>
  <si>
    <t>部门结转19.58万元
至2020年使用</t>
  </si>
  <si>
    <t>深财预﹝2019﹞443号</t>
  </si>
  <si>
    <t>提前下达生态公益林效益补偿资金</t>
  </si>
  <si>
    <t>部门结转72.13万元
至2020年使用</t>
  </si>
  <si>
    <t>深财预﹝2019﹞1270号</t>
  </si>
  <si>
    <t>粤财农﹝2019﹞117号下达2019年省级涉农转移支付资金</t>
  </si>
  <si>
    <t>部门结转1340.52万元至2020年使用</t>
  </si>
  <si>
    <t>深财预﹝2019﹞1375号</t>
  </si>
  <si>
    <t>粤财农﹝2019﹞133号安排2019年中央河长制湖长制国务院激励资金</t>
  </si>
  <si>
    <t>农林水支出总计</t>
  </si>
  <si>
    <t>深财预﹝2019﹞1188号</t>
  </si>
  <si>
    <t>资源勘探信息等支出</t>
  </si>
  <si>
    <t>粤财工﹝2019﹞47号下达2019年省工业和信息化厅主管省促进经济高质量发展专项资金（工业互联网发展、信息基础设施建设、4K电视用户推广、工业和信息化预留资金）</t>
  </si>
  <si>
    <t>资源勘探信息等支出总计</t>
  </si>
  <si>
    <t>深财预﹝2019﹞222号</t>
  </si>
  <si>
    <t>住房保障支出</t>
  </si>
  <si>
    <t>下达2016-2019年市属企业离休干部经费</t>
  </si>
  <si>
    <t>深财预﹝2019﹞387号</t>
  </si>
  <si>
    <t>提前下达新引进人才租房和生活补贴</t>
  </si>
  <si>
    <t>住房保障支出总计</t>
  </si>
  <si>
    <t>深财预﹝2019﹞381号</t>
  </si>
  <si>
    <t>粮食物资储备支出</t>
  </si>
  <si>
    <t>下达政策性风险资金（粮食储备费用）</t>
  </si>
  <si>
    <t>粮食物资储备支出总计</t>
  </si>
  <si>
    <t>深财预﹝2019﹞331号</t>
  </si>
  <si>
    <t>政府投资财力下放（各区结合项目分解至各功能科目）</t>
  </si>
  <si>
    <t>其他支出总计</t>
  </si>
  <si>
    <t>附件2-1：</t>
  </si>
  <si>
    <t xml:space="preserve">龙岗区2020年一般公共预算收入预算（草案）表 </t>
  </si>
  <si>
    <t>2020年预算数</t>
  </si>
  <si>
    <t>2020年预算数比2019年完成数增长%</t>
  </si>
  <si>
    <t xml:space="preserve">   其他税收收入</t>
  </si>
  <si>
    <t xml:space="preserve">     专项收入（排污费返还）</t>
  </si>
  <si>
    <t xml:space="preserve">      国有资本经营收入</t>
  </si>
  <si>
    <t>附件2-2：</t>
  </si>
  <si>
    <t>龙岗区2020年一般公共预算支出预算（草案）表
（按功能科目）</t>
  </si>
  <si>
    <t>2020年预算口</t>
  </si>
  <si>
    <t>2020年部门预算数</t>
  </si>
  <si>
    <t>2020年预算数比2019年执行数增长%</t>
  </si>
  <si>
    <t>项目金额超过500万元或增减幅度超过30%的情况说明</t>
  </si>
  <si>
    <t>增加一次区人大会议，经费相应增加。</t>
  </si>
  <si>
    <t>压减一般性支出。</t>
  </si>
  <si>
    <t>2019年为区发改局“十四五”规划项目经费，2020年未安排。</t>
  </si>
  <si>
    <t>区发改局新增重大项目集中开工活动、救灾物资采购费及代储费。</t>
  </si>
  <si>
    <t>2019年有基建支出列支该科目，2020年未安排。</t>
  </si>
  <si>
    <t>新增安排区统计局第七次人口普查经费310万元。</t>
  </si>
  <si>
    <t>2019年区财政局有“会议视频设备升级改造”一次性项目经费，2020年未安排。</t>
  </si>
  <si>
    <t>区财政局增加安排预算绩效评价项目经费。2020年增加智慧财政实施费及国库集中支付代理行手续费。</t>
  </si>
  <si>
    <t>区财政局增加安排智慧财政实施费及国库集中支付代理行手续费。</t>
  </si>
  <si>
    <t>区财政局增加安排资产管理系统运维经费。</t>
  </si>
  <si>
    <t>2019年区政府物业管理中心有社区配套和公共服务用房有偿接收支出4111万元，2020年未安排。</t>
  </si>
  <si>
    <t>2019年有列支政府投资项目协审费500万元。2020年未安排。</t>
  </si>
  <si>
    <t>主要项目包括：按上级文件要求2020年引进人才租房补贴22111万元在本功能科目反映。</t>
  </si>
  <si>
    <t>主要项目包括：区经济与科技发展专项资金822.1万元。</t>
  </si>
  <si>
    <t>区工信局因机构改革机构和人员划转市本级，经费相应减少。</t>
  </si>
  <si>
    <t>对外贸易管理</t>
  </si>
  <si>
    <t>区工信局根据工作职能新增外经贸管理项目经费。</t>
  </si>
  <si>
    <t>我区各民主党派人数有增加，经费相应增加。</t>
  </si>
  <si>
    <t>主要项目包括：龙岗工人文化宫专项补助4317万元。
增减原因：2020年增加工人文化宫专项补助4317万元。</t>
  </si>
  <si>
    <t>2020年无启用该科目，相关经费调整为其他组织事务支出科目。</t>
  </si>
  <si>
    <t>压减宣传经费。</t>
  </si>
  <si>
    <t>主要项目包括：街道安排两委成员补贴、党员活动、园区党建等党建活动经费4401万元。</t>
  </si>
  <si>
    <t>2020年起区食药安办不实行独立核算，正式人员经费未安排。</t>
  </si>
  <si>
    <t>食药安办聘员经费。</t>
  </si>
  <si>
    <t>2019年为市市场监督管理局龙岗管理局质量发展扶持专项资金，2020年未安排。</t>
  </si>
  <si>
    <t>2020年无启用该科目，相关经费调整为其他市场监督管理事务科目。</t>
  </si>
  <si>
    <t>主要项目包括：各街道安排一街一车一室、食品安全巡查、市场监管工作人员经费共计7908万元。</t>
  </si>
  <si>
    <t>2020年起各街道办机动经费13900万元调整至该科目反映。</t>
  </si>
  <si>
    <t>2019年为区应急办民防支出，2020年机构改革后不再使用该科目。</t>
  </si>
  <si>
    <t>龙岗公安分局在岗人员减少，相关经费相应减少 ；消防监督大楼移交应急管理局，物业管理费、水电费相应减少。</t>
  </si>
  <si>
    <t>2019年有年中追加龙岗公安分局公务用车购置费3593万元、追加看守所、派出所办公设备购置费694万元、上级追加转移支付441万元，2020年未安排 。</t>
  </si>
  <si>
    <t>其他司法支出</t>
  </si>
  <si>
    <t>主要项目包括：街道综治维稳经费6064万元、国防动员武装工作经费1082万元。                            增减原因：各街道办压减街道武装部购置服装、综治维稳宣传经费等方面支出。</t>
  </si>
  <si>
    <t>2019年有补发人员工资福利政策性支出，2020年未安排。</t>
  </si>
  <si>
    <t>主要项目包括：教师奖励慰问220万元、校方责任险588万元、学生意外伤害险266万元、教学教研836万元等。
增减原因：根据上级政策要求取消班主任考评奖励3708万元转为工资发放，引进外教开展国际化课程服务项目900万元纳入学校生均经费统筹解决，规范民办教育专项资金功能科目使用。功能科目相应调整。</t>
  </si>
  <si>
    <t>主要项目包括：新型公办园经费60281万元。
增减原因：新增61所新型公办园经费48555万元。</t>
  </si>
  <si>
    <t>主要项目包括：小学人员经费108607万元、公用经费20652万元、项目经费14026万元。</t>
  </si>
  <si>
    <t>主要项目包括：初中人员经费179190万元、公用经费31482万元、项目经费21085万元。</t>
  </si>
  <si>
    <t>主要项目包括：高中人员经费52895万元、公用经费6899万元、项目经费9060万元。</t>
  </si>
  <si>
    <t>主要项目包括：义务教育阶段学生午餐午休管理6285万元、秋季生均增支1380万元、人才发展专项资金1000万元。</t>
  </si>
  <si>
    <t>科目反映龙岗中专经费支出10589万元、第二职业技术学校经费支出7754万元。</t>
  </si>
  <si>
    <t>科目反映广播电视大学经费支出1489万元。</t>
  </si>
  <si>
    <t xml:space="preserve">      其他特殊教育支出</t>
  </si>
  <si>
    <t>项目反映区教师进修学校经费支出1279万元。</t>
  </si>
  <si>
    <t>项目反映区委党校经费支出1442万元。</t>
  </si>
  <si>
    <t>主要项目包括：生均学校项目经费61367万元、产假顶岗教师购买服务6237万元、非生均单位项目经费6800万元、教育系统管理3012万元支出。</t>
  </si>
  <si>
    <t>主要项目包括：民办教育专项资金112862万元、政府资助学校经费23032万元、新建扩建经费10000万元、中高考工作经费2052万元等。
增减原因：民办教育增支12182万元、政府资助学校增资2412万元、新建扩建经费增资2300万元、教育局指标调剂给学校使用时变更功能科目等。</t>
  </si>
  <si>
    <t>（二）技术研究与开发</t>
  </si>
  <si>
    <t>区科创中心新增区知识产权服务中心运营费、创新大讲堂等项目经费139.14万元。</t>
  </si>
  <si>
    <t>区科创局新增国际人才交流大会215万元。</t>
  </si>
  <si>
    <t>主要项目包括：区图书馆免费开放读者服经费务333万元、总分馆服务体系经费1744万元、图书购置经费490万元、文献征集刊物购置经费165万元。</t>
  </si>
  <si>
    <t>主要项目包括：深圳声乐季300万元、广东省群众艺术花会（音乐舞蹈）100万元、创省示范区经费160万元、书吧建设经费130万元、龙岗高雅艺术文化活动下基层公益系列活动经费90万元、文艺精品创作及组织作品参赛经费50万元、文化社会组织创新发展项目经费50万元、龙岗文化创新园运营经费60万元、文化服务绩效评估及公众满意度调查经费40万元。
增减原因：部分公共文化项目从区文化广电旅游体育局转移至区文化馆实施，功能科目相应调整。</t>
  </si>
  <si>
    <t>主要项目包括：区文化馆基本支出739万元、文艺创作与展览125.15万元，“你点我送”文化惠民公益培训409.31万元。</t>
  </si>
  <si>
    <t>主要项目包括：开心麻花项目相关补贴450万元、专家工作室项目经费50万元。</t>
  </si>
  <si>
    <t>电影管理职能从区文化广电旅游体育局划转至区委宣传部，功能科目相应调整。</t>
  </si>
  <si>
    <t>主要项目包括：区文博展览馆经费120.5万元、非国有博物馆扶持补贴123万元、不可移动文物保护经费266.11万元。</t>
  </si>
  <si>
    <t>主要项目包括：WTA女子网球公开赛713万元、CBA篮球赛1000万元、中国网球大赛765万元、国际泳联赛700万元、深圳市足球俱乐部中超联赛补贴3000万元。
增减原因：根据上级政策要求新增深圳市足球俱乐部中超联赛补贴3000万元。</t>
  </si>
  <si>
    <r>
      <rPr>
        <sz val="12"/>
        <color indexed="8"/>
        <rFont val="华文仿宋"/>
        <charset val="134"/>
      </rPr>
      <t>主要项目包括：体育赛事活动经费590万元、体校基本支出598</t>
    </r>
    <r>
      <rPr>
        <sz val="12"/>
        <color indexed="8"/>
        <rFont val="华文仿宋"/>
        <charset val="134"/>
      </rPr>
      <t>万元及比赛培训经费69</t>
    </r>
    <r>
      <rPr>
        <sz val="12"/>
        <color indexed="8"/>
        <rFont val="华文仿宋"/>
        <charset val="134"/>
      </rPr>
      <t>9</t>
    </r>
    <r>
      <rPr>
        <sz val="12"/>
        <color indexed="8"/>
        <rFont val="华文仿宋"/>
        <charset val="134"/>
      </rPr>
      <t>万元、体育中心办公楼修缮费25</t>
    </r>
    <r>
      <rPr>
        <sz val="12"/>
        <color indexed="8"/>
        <rFont val="华文仿宋"/>
        <charset val="134"/>
      </rPr>
      <t>3</t>
    </r>
    <r>
      <rPr>
        <sz val="12"/>
        <color indexed="8"/>
        <rFont val="华文仿宋"/>
        <charset val="134"/>
      </rPr>
      <t>万元和运营管理经费2</t>
    </r>
    <r>
      <rPr>
        <sz val="12"/>
        <color indexed="8"/>
        <rFont val="华文仿宋"/>
        <charset val="134"/>
      </rPr>
      <t>10</t>
    </r>
    <r>
      <rPr>
        <sz val="12"/>
        <color indexed="8"/>
        <rFont val="华文仿宋"/>
        <charset val="134"/>
      </rPr>
      <t>万元
2020年减少相关活动开展场次；部分赛事经费转由体彩公益金安排。</t>
    </r>
  </si>
  <si>
    <t>（五）广播电视</t>
  </si>
  <si>
    <t>其他广播电视支出</t>
  </si>
  <si>
    <t>（六）其他文化旅游体育与传媒支出</t>
  </si>
  <si>
    <t>文化产业发展专项支出</t>
  </si>
  <si>
    <r>
      <rPr>
        <sz val="12"/>
        <rFont val="华文仿宋"/>
        <charset val="134"/>
      </rPr>
      <t>主要项目包括：区文化产业促进中心文化产业发展专项支出1200</t>
    </r>
    <r>
      <rPr>
        <sz val="12"/>
        <rFont val="华文仿宋"/>
        <charset val="134"/>
      </rPr>
      <t>万元，其中：参展扶持经费</t>
    </r>
    <r>
      <rPr>
        <sz val="12"/>
        <rFont val="华文仿宋"/>
        <charset val="134"/>
      </rPr>
      <t>350</t>
    </r>
    <r>
      <rPr>
        <sz val="12"/>
        <rFont val="华文仿宋"/>
        <charset val="134"/>
      </rPr>
      <t>万元；园区建设扶持竟给</t>
    </r>
    <r>
      <rPr>
        <sz val="12"/>
        <rFont val="华文仿宋"/>
        <charset val="134"/>
      </rPr>
      <t>150</t>
    </r>
    <r>
      <rPr>
        <sz val="12"/>
        <rFont val="华文仿宋"/>
        <charset val="134"/>
      </rPr>
      <t>万元；重大活动扶持经费</t>
    </r>
    <r>
      <rPr>
        <sz val="12"/>
        <rFont val="华文仿宋"/>
        <charset val="134"/>
      </rPr>
      <t>250</t>
    </r>
    <r>
      <rPr>
        <sz val="12"/>
        <rFont val="华文仿宋"/>
        <charset val="134"/>
      </rPr>
      <t>万元。
增减原因：规范功能科目使用。</t>
    </r>
  </si>
  <si>
    <t>其他文化旅游体育与传媒支出</t>
  </si>
  <si>
    <t>各街道文体中心事业编制人员工资1903万元功能科目调整至其他城乡社区支出科目；各街道压减文化和体育活动、设备购置等经费1421万元。</t>
  </si>
  <si>
    <t>主要项目包括：2020年区劳资应急专项资金500万元。
增减原因：2020年增加安排区劳资应急专项资金200万元。</t>
  </si>
  <si>
    <t>主要项目包括：区人力资源局劳动仲裁工作经费520万元。</t>
  </si>
  <si>
    <t>规范功能科目使用，相关项目科目相应调整。</t>
  </si>
  <si>
    <t>社会组织管理</t>
  </si>
  <si>
    <t>基层政权建设和社区治理</t>
  </si>
  <si>
    <t>主要项目包括：党群服务中心运营经费2026万元，社工购买服务经费4057万元；各街道安排重大节日慰问、救灾应急款、社区老年人日间料理中心运营等经费2508万元。</t>
  </si>
  <si>
    <t>2019年有补发人员工资福利政策性支出。2020年未安排。</t>
  </si>
  <si>
    <t>增加安排区委党校工资福利支出119万元。</t>
  </si>
  <si>
    <t>主要项目包括：扶持就业补助经费2611万元。</t>
  </si>
  <si>
    <t>根据军人数量、标准变化增加安排复退军人服务中心保障经费654万元、义务兵优待金、重大慰问等经费增加254万元。</t>
  </si>
  <si>
    <t>军队移交政府的离退休人员安置</t>
  </si>
  <si>
    <r>
      <rPr>
        <sz val="12"/>
        <color indexed="8"/>
        <rFont val="华文仿宋"/>
        <charset val="134"/>
      </rPr>
      <t>增加安排退役士兵技能培训258</t>
    </r>
    <r>
      <rPr>
        <sz val="12"/>
        <color indexed="8"/>
        <rFont val="华文仿宋"/>
        <charset val="134"/>
      </rPr>
      <t>万元、就业创业经费110万元、驻深官兵职业技能培训活动经费55万元、适岗性培训经费75万元。</t>
    </r>
  </si>
  <si>
    <t>主要项目包括：老年人免费体检经费699万元。</t>
  </si>
  <si>
    <t>根据各类保障人数量、标准变化增加安排高龄老人津贴等福利费用1580万元。</t>
  </si>
  <si>
    <t>残疾人慰问金433万元从区民政局划转街道办部门预算，功能科目相应调整。</t>
  </si>
  <si>
    <t>增加安排2020年市残疾人运动会项目经费。</t>
  </si>
  <si>
    <t>主要项目包括：流浪乞讨人员救助经费765万元。</t>
  </si>
  <si>
    <t>生活救助经费从区民政局划转街道办部门预算，功能科目相应调整。</t>
  </si>
  <si>
    <t>（十四）退役军人管理事务</t>
  </si>
  <si>
    <t>其他退役军人事务管理支出</t>
  </si>
  <si>
    <t>（十五）其他社会保障和就业支出</t>
  </si>
  <si>
    <r>
      <rPr>
        <sz val="12"/>
        <color indexed="8"/>
        <rFont val="华文仿宋"/>
        <charset val="134"/>
      </rPr>
      <t>主要项目包括：高层次人才补贴2820</t>
    </r>
    <r>
      <rPr>
        <sz val="12"/>
        <color indexed="8"/>
        <rFont val="华文仿宋"/>
        <charset val="134"/>
      </rPr>
      <t>3万元</t>
    </r>
    <r>
      <rPr>
        <sz val="12"/>
        <color indexed="8"/>
        <rFont val="华文仿宋"/>
        <charset val="134"/>
      </rPr>
      <t>。</t>
    </r>
  </si>
  <si>
    <t>卫健局2020年人才发展专项资金减少300万元、医学人才培养项目经费减少386万元。</t>
  </si>
  <si>
    <t>加强资金统筹使用，2020年各医院动用自身累计盈余资金安排开支，一般公共预算安排资金相应减少。</t>
  </si>
  <si>
    <t>提前下达2020年中央财政卫生健康共同事权项目补助资金223万元。</t>
  </si>
  <si>
    <t xml:space="preserve">主要项目包括：公共卫生防控经费1327万元、国家免疫耗材及服务经费3045万元、结核病防治经费590万元、精神病防治工作经费2587万元。
增减原因：2020年起第二类疫苗不再纳入非税管理项目，减支13,463万元。
</t>
  </si>
  <si>
    <t>主要项目包括：卫生监督业务经费5580万元。</t>
  </si>
  <si>
    <t>主要项目包括：无偿献血业务费2355万元。</t>
  </si>
  <si>
    <t>主要项目包括：基本公共卫生项目经费43648万元。
增减原因：2020年起按照市标准执行，补贴标准由70元/服务人口提高到120元/服务人口，2020年预算比2019年预算增加22274万元。</t>
  </si>
  <si>
    <t>主要项目包括：超基本医疗补助经费828万元、全区干部体检经费5443万元。
增加安排全区干部体检经费1300万元、超基本医疗服务补助经费200万元。</t>
  </si>
  <si>
    <t>医院业务量增加，相关经费相应增加。</t>
  </si>
  <si>
    <t>主要项目包括：独生子女父母奖励金800万元、妇幼保健工作675万元。</t>
  </si>
  <si>
    <t>（十）医疗保障管理事务</t>
  </si>
  <si>
    <t>新设立医保分局，新增安排相关经费。</t>
  </si>
  <si>
    <t>（十一）其他卫生健康支出</t>
  </si>
  <si>
    <t>主要项目包括：家属统筹医疗费项目700万元。</t>
  </si>
  <si>
    <t>因机构改革原环保职能划至市生态局龙岗管理局，人员经费及公用经费相应减少。</t>
  </si>
  <si>
    <r>
      <rPr>
        <sz val="12"/>
        <color indexed="8"/>
        <rFont val="华文仿宋"/>
        <charset val="134"/>
      </rPr>
      <t>主要项目包括：市生态环境局龙岗管理局“一带一路”工作经费1499万元；区水务局市政消火栓维护管理费1060万元、水污染治理工作经费1253万元。
增减原因：增加安排区水务局市政消火栓维护管理费</t>
    </r>
    <r>
      <rPr>
        <sz val="12"/>
        <color indexed="8"/>
        <rFont val="华文仿宋"/>
        <charset val="134"/>
      </rPr>
      <t>745</t>
    </r>
    <r>
      <rPr>
        <sz val="12"/>
        <color indexed="8"/>
        <rFont val="华文仿宋"/>
        <charset val="134"/>
      </rPr>
      <t>万元、水务工程质量安全监督站工作经费</t>
    </r>
    <r>
      <rPr>
        <sz val="12"/>
        <color indexed="8"/>
        <rFont val="华文仿宋"/>
        <charset val="134"/>
      </rPr>
      <t>800</t>
    </r>
    <r>
      <rPr>
        <sz val="12"/>
        <color indexed="8"/>
        <rFont val="华文仿宋"/>
        <charset val="134"/>
      </rPr>
      <t>万元，市生态环境局龙岗管理局一带一路工作经费</t>
    </r>
    <r>
      <rPr>
        <sz val="12"/>
        <color indexed="8"/>
        <rFont val="华文仿宋"/>
        <charset val="134"/>
      </rPr>
      <t>1109</t>
    </r>
    <r>
      <rPr>
        <sz val="12"/>
        <color indexed="8"/>
        <rFont val="华文仿宋"/>
        <charset val="134"/>
      </rPr>
      <t>万元。</t>
    </r>
  </si>
  <si>
    <t>因机构改革原环保职能划至市生态局龙岗管理局，相关项目科目相应调整。</t>
  </si>
  <si>
    <t>因机构改革原环保职能划至市生态局龙岗管理局，相关经费取消安排。</t>
  </si>
  <si>
    <t>主要项目包括：区水务局“排水管网运行维护”36067万元。
增减原因：区水务局排水管网运行维护经费因单价标准提高增加安排22830万元；2020年水污染治理基建项目支出转由专项债券资金安排。</t>
  </si>
  <si>
    <t>（四）自然生态保护</t>
  </si>
  <si>
    <t>生态保护</t>
  </si>
  <si>
    <t>新增安排市生态环境局龙岗管理局“十四五编制经费"35万元。</t>
  </si>
  <si>
    <t>（五）污染减排</t>
  </si>
  <si>
    <t>（六）循环经济</t>
  </si>
  <si>
    <t>主要项目包括：各街道市容巡查员支出13000万元。
增减原因：市容环境品质提升经费减少6000万元；规范功能科目使用，相关经费科目相应调整。</t>
  </si>
  <si>
    <t>主要项目包括：各街道工地、边坡、燃气、零星等工程建设管理工作经费5000万元。</t>
  </si>
  <si>
    <t xml:space="preserve">主要项目包括：区市政管理所路灯管理经费4618万元、景观灯设施维护经费915万元。
增减原因：区市政所路灯管理减少安排740万元、各街道小型基础设施建设经费减少安排13000万元。
</t>
  </si>
  <si>
    <t>主要项目包括：主要安排路灯管养、清扫清运及垃圾减量与分类工作经费共24313万元。
增减原因：2019年含基建支出28500万元。2020年未安排基建支出。</t>
  </si>
  <si>
    <t>主要项目包括：区城管执法局垃圾处理业务经费43787万元、道路环卫清扫经费2764万元、绿道维护及绿化监管经费902万元；、道路绿化管养及零星补植经费3863万元。
增减原因：东部电厂投入运营，增加安排区垃管中心垃圾处理业务经费20230万元。</t>
  </si>
  <si>
    <t>科目反映各街道办部门预算支出，含人员经费和项目支出。
主要项目包括：社区民生大盆菜22200万元、社区综合服务经费17301万元。
增减原因：2019年有补发人员工资福利政策性支出。2020年未安排。</t>
  </si>
  <si>
    <t>因机构改革，区绿委办部分职能划至区应急管理局，市公安局森林分局划至市级，相关经费取消安排。</t>
  </si>
  <si>
    <t>因机构改革，区绿委办森林防火职能划至区应急管理局，相关经费取消安排。</t>
  </si>
  <si>
    <t>因机构改革，市公安局森林分局划至市级，相关经费取消安排。</t>
  </si>
  <si>
    <t>主要项目包括：各街道林业管理经费2381万元。</t>
  </si>
  <si>
    <t>主要项目包括：市财政提前下达区水务局水务发展专项资金27521万元，用于市水务局指定基建项目。
增减原因：增加安排水利工程建设9695万元。</t>
  </si>
  <si>
    <t>2019年有各街道办2018年三防工程尾款；2020年部分街道办减少安排预留应急抢险物资经费。</t>
  </si>
  <si>
    <t>主要项目包括：区污水处理运营中心污水处理设施建设与运营经费4453万元。
增减原因：增加安排区污水处理运营中心君子布河黑臭治理和沙湾河黑臭治理工程经费2040万元。</t>
  </si>
  <si>
    <t>新增安排市交通局龙岗管理局泥头车监管、出租车停靠站和路牌拆除补偿等项目经费389万元；规范功能科目使用，相关项目科目相应调整。</t>
  </si>
  <si>
    <t>主要项目包括：区规划土地监察局“国有储备用地管理”985万元。
增减原因：增加安排区土地整备事务中心土地整备考核奖励经费240万元。</t>
  </si>
  <si>
    <t>减少安排区土地整备事务中心拆迁安置房管理及维修经费102万元。</t>
  </si>
  <si>
    <t>主要项目包括：11个街道社区安全员（巡查员、消防员）购买服务经费19609万元，安全生产专项经费4326万元，其他日常安全生产工作经费7543万元。
增减原因：安全生产专项资金减少安排2240万元。</t>
  </si>
  <si>
    <r>
      <rPr>
        <sz val="12"/>
        <color indexed="8"/>
        <rFont val="华文仿宋"/>
        <charset val="134"/>
      </rPr>
      <t>2019年基建支出11011万元，2020年安排基建支出2700万元，减少</t>
    </r>
    <r>
      <rPr>
        <sz val="12"/>
        <color indexed="8"/>
        <rFont val="华文仿宋"/>
        <charset val="134"/>
      </rPr>
      <t>8311万元</t>
    </r>
    <r>
      <rPr>
        <sz val="12"/>
        <color indexed="8"/>
        <rFont val="华文仿宋"/>
        <charset val="134"/>
      </rPr>
      <t>。</t>
    </r>
  </si>
  <si>
    <t>（一）彩票公益金及对应专项债务收入安排的支出</t>
  </si>
  <si>
    <t>用于社会福利的彩票公益金支出</t>
  </si>
  <si>
    <t>用于体育事业的彩票公益金支出</t>
  </si>
  <si>
    <t>用于残疾人事业的彩票公益金支出</t>
  </si>
  <si>
    <t>（二）其他支出</t>
  </si>
  <si>
    <t>主要项目包括：预留基建支出60129万元、预留全区行政事业单位人员工资福利政策性增支40550万元、预算准备金30,000万元等财政统筹类支出。
增加原因：财政统筹支出暂列该科目，待年度预算执行中发生实际支出时将转列相应功能科目。</t>
  </si>
  <si>
    <t xml:space="preserve">        补充预算稳定调节基金</t>
  </si>
  <si>
    <t xml:space="preserve">    地方政府一般债务还本支出</t>
  </si>
  <si>
    <t xml:space="preserve">    地方政府一般债务转贷支出</t>
  </si>
  <si>
    <t>附件2-3：</t>
  </si>
  <si>
    <t>龙岗区2020年一般公共预算支出预算（草案）表
（按经济科目不含转移性支出）</t>
  </si>
  <si>
    <t>2020年预算口基本支出数</t>
  </si>
  <si>
    <t>2020年预算口项目支出数</t>
  </si>
  <si>
    <t>2020年部门预算基本支出数</t>
  </si>
  <si>
    <t>2020年部门预算项目支出数</t>
  </si>
  <si>
    <t>2020年预算数合计</t>
  </si>
  <si>
    <t>2020年基本支出预算数</t>
  </si>
  <si>
    <t>2020年项目支出预算数</t>
  </si>
  <si>
    <t>赠与</t>
  </si>
  <si>
    <t>附件2-4：</t>
  </si>
  <si>
    <t>龙岗区2020年上级转移支付汇总表</t>
  </si>
  <si>
    <t>原增值税税收基数返还</t>
  </si>
  <si>
    <t>消费税税收基数返还</t>
  </si>
  <si>
    <t>二、2020年上级专项转移支付汇总</t>
  </si>
  <si>
    <t>转移支付项目</t>
  </si>
  <si>
    <t>大企业跨区迁移补助</t>
  </si>
  <si>
    <t>优质饮用水入户</t>
  </si>
  <si>
    <t>二次供水设施改造</t>
  </si>
  <si>
    <t>教育费附加</t>
  </si>
  <si>
    <t>地方教育费附加</t>
  </si>
  <si>
    <t>国土基金计提教育资金</t>
  </si>
  <si>
    <t>民办教育发展专项资金</t>
  </si>
  <si>
    <t>学前教育专项经费</t>
  </si>
  <si>
    <t>2020年完善义务教育经费保障市本级（含中央）财政补助资金</t>
  </si>
  <si>
    <t>政策性风险资金（粮食储备费用）</t>
  </si>
  <si>
    <t>新引进人才租房和生活补贴</t>
  </si>
  <si>
    <t>残疾人就业保障金</t>
  </si>
  <si>
    <t>污水处理费返拨</t>
  </si>
  <si>
    <t>2020年度城市志愿服务U站考核</t>
  </si>
  <si>
    <t>2020年度政法转移支付资金——公安部门</t>
  </si>
  <si>
    <t>2020年度政法转移支付资金——司法行政部门</t>
  </si>
  <si>
    <t>水务发展专项资金一般项目</t>
  </si>
  <si>
    <t>民生微实事</t>
  </si>
  <si>
    <t>提前下达2020年优抚对象补助经费</t>
  </si>
  <si>
    <t>深圳外国语学校（龙岗）国际部永久校区项目资金</t>
  </si>
  <si>
    <t>提前下达2020年中央财政支持学前教育发展资金的通知</t>
  </si>
  <si>
    <t>提前下达中央财政下达我市2020年困难群众救助补助资金</t>
  </si>
  <si>
    <t>提前下达2020年高校毕业生到农村从教上岗退费资金</t>
  </si>
  <si>
    <t>提前下达2020年现代职业教育质量提升计划专项资金</t>
  </si>
  <si>
    <t>提前下达市属企业离休干部2020年度经费</t>
  </si>
  <si>
    <t>提前下达2020年残疾人机动车燃油补贴（深财社﹝2019﹞75号）</t>
  </si>
  <si>
    <t>提前下达2020年城乡义务教育补助经费预算（补充分配下达校舍安全保障长效机制补助经费）（深财教﹝2019﹞141号）</t>
  </si>
  <si>
    <t>提前下达2020年建档立卡学生免学费和生活费补助资金（深财教﹝2019﹞137号）</t>
  </si>
  <si>
    <t>提前下达2020年中央财政卫生健康共同事权项目补助资金</t>
  </si>
  <si>
    <t>提前下达2020年学生资助补助经费预算</t>
  </si>
  <si>
    <t>附件2-5：</t>
  </si>
  <si>
    <t>龙岗区2020年区级财政专项资金预算表</t>
  </si>
  <si>
    <t>专项资金名称</t>
  </si>
  <si>
    <t>专项资金管理办法</t>
  </si>
  <si>
    <t>2019年预算安排数</t>
  </si>
  <si>
    <t>2019年调整数</t>
  </si>
  <si>
    <t>2019年实际安排数</t>
  </si>
  <si>
    <t>2020年预算安排数</t>
  </si>
  <si>
    <t>增减金额</t>
  </si>
  <si>
    <t>人才发展专项资金</t>
  </si>
  <si>
    <t>《关于促进人才优先发展实施“深龙英才”计划的意见的通知》（深龙发﹝2016﹞4号）</t>
  </si>
  <si>
    <t>社会建设专项资金</t>
  </si>
  <si>
    <t>《深圳市龙岗区社会建设专项经费管理办法》（深龙府﹝2014﹞14号）</t>
  </si>
  <si>
    <t>信访稳定备用金</t>
  </si>
  <si>
    <t>《龙岗区信访稳定备用金使用管理办法》（深龙信﹝2016﹞2号）</t>
  </si>
  <si>
    <t>就业专项资金</t>
  </si>
  <si>
    <t>《深圳市龙岗区就业专项资金管理办法》（深龙人通〔2015〕50号）</t>
  </si>
  <si>
    <t>宣传文化发展专项资金</t>
  </si>
  <si>
    <t>《龙岗区宣传文化发展专项经费使用办法（试行）》（深龙宣﹝2016﹞11号）</t>
  </si>
  <si>
    <t>安全生产专项资金</t>
  </si>
  <si>
    <t>《深圳市龙岗区安全生产专项经费管理暂行办法》（深龙安〔2008〕7号）</t>
  </si>
  <si>
    <t>处理群体性劳资纠纷事件应急专项资金</t>
  </si>
  <si>
    <t>《龙岗区处理群体性劳资纠纷事件应急专项资金管理暂行办法》（深龙府办规[2017]7号）</t>
  </si>
  <si>
    <t>社区“民生大盆菜”资金</t>
  </si>
  <si>
    <t>《龙岗区“社区民生大盆菜”项目管理暂行办法》（深龙民﹝2016﹞80号)、《龙岗区“社区民生大盆菜”项目准入负面清单》（深龙民﹝2016﹞81号)、《龙岗区“社区民生大盆菜”改革项目专项经费实施细则》（深龙民﹝2015﹞80号)</t>
  </si>
  <si>
    <t>粮食风险基金</t>
  </si>
  <si>
    <t>《粮食风险基金专户管理办法》（财商字﹝1998﹞4466号）、《深圳市粮食储备管理暂行办法》（深府〔2008〕179号）</t>
  </si>
  <si>
    <t>《龙岗区民办教育发展专项资金管理暂行办法》（深龙教通〔2016〕9号）</t>
  </si>
  <si>
    <t>经济与科技类产业发展专项资金</t>
  </si>
  <si>
    <t>《深圳市龙岗区经济与科技发展专项资金管理暂行办法》（深龙府办规﹝2016﹞1号）</t>
  </si>
  <si>
    <t>附件3-1：</t>
  </si>
  <si>
    <t>龙岗区2020年政府性基金预算（草案）表</t>
  </si>
  <si>
    <t>收     入</t>
  </si>
  <si>
    <t>支     出</t>
  </si>
  <si>
    <t>项   目</t>
  </si>
  <si>
    <t>2019年完成数</t>
  </si>
  <si>
    <t>一、国有土地使用权出让收入</t>
  </si>
  <si>
    <t>国有土地出让收入941631.4万元+市投区建53270万元</t>
  </si>
  <si>
    <t>207</t>
  </si>
  <si>
    <t>一、文化体育与传媒支出</t>
  </si>
  <si>
    <t>二、彩票公益金收入</t>
  </si>
  <si>
    <t>福彩5460万元；体彩674+3983=4657万元</t>
  </si>
  <si>
    <t>20707</t>
  </si>
  <si>
    <t>其中体彩3956万元、福彩4797万元。</t>
  </si>
  <si>
    <t>（一）国家电影事业发展专项资金及对应专项债务收入安排的支出</t>
  </si>
  <si>
    <t>三、国家电影事业发展专项资金收入</t>
  </si>
  <si>
    <t>2070701</t>
  </si>
  <si>
    <t xml:space="preserve">        其他国家电影事业发展专项资金支出</t>
  </si>
  <si>
    <t>四、其他政府性基金专项债务对应项目专项收入</t>
  </si>
  <si>
    <t>2070799</t>
  </si>
  <si>
    <t>二、城乡社区支出</t>
  </si>
  <si>
    <t>212</t>
  </si>
  <si>
    <t>（一）国有土地使用权出让收入及对应专项债务收入安排的支出</t>
  </si>
  <si>
    <t>21208</t>
  </si>
  <si>
    <t xml:space="preserve">        征地和拆迁补偿支出</t>
  </si>
  <si>
    <t>2120801</t>
  </si>
  <si>
    <t xml:space="preserve">        城市建设支出</t>
  </si>
  <si>
    <t>2120803</t>
  </si>
  <si>
    <t xml:space="preserve">        公共租赁住房支出</t>
  </si>
  <si>
    <t>2120811</t>
  </si>
  <si>
    <t>四、其他支出</t>
  </si>
  <si>
    <t>229</t>
  </si>
  <si>
    <t>22960</t>
  </si>
  <si>
    <t xml:space="preserve">        用于社会福利的彩票公益金支出</t>
  </si>
  <si>
    <t xml:space="preserve">        用于残疾人事业的彩票公益金支出</t>
  </si>
  <si>
    <t>2296003</t>
  </si>
  <si>
    <t xml:space="preserve">        用于体育事业的彩票公益金支出</t>
  </si>
  <si>
    <t>收入合计</t>
  </si>
  <si>
    <t>支出合计</t>
  </si>
  <si>
    <t>转移性收入</t>
  </si>
  <si>
    <t xml:space="preserve">    上年结余收入</t>
  </si>
  <si>
    <t>其中国土285062万元，体彩1557万元、福彩551万元。</t>
  </si>
  <si>
    <t xml:space="preserve">    调出资金</t>
  </si>
  <si>
    <t xml:space="preserve">    债务转贷收入</t>
  </si>
  <si>
    <r>
      <rPr>
        <sz val="11"/>
        <rFont val="华文仿宋"/>
        <charset val="134"/>
      </rPr>
      <t xml:space="preserve"> </t>
    </r>
    <r>
      <rPr>
        <sz val="11"/>
        <rFont val="华文仿宋"/>
        <charset val="134"/>
      </rPr>
      <t xml:space="preserve">   结转下年</t>
    </r>
  </si>
  <si>
    <t xml:space="preserve">           国有土地使用权出让金债务转贷收入</t>
  </si>
  <si>
    <t>债务付息支出</t>
  </si>
  <si>
    <t xml:space="preserve">          其他政府性基金债务转贷收入</t>
  </si>
  <si>
    <t>债务发行费用支出</t>
  </si>
  <si>
    <t>收入总计</t>
  </si>
  <si>
    <t>支出总计</t>
  </si>
  <si>
    <t>附件3-2：</t>
  </si>
  <si>
    <t>龙岗区2020年国土基金收支计划表</t>
  </si>
  <si>
    <t>2020年计划</t>
  </si>
  <si>
    <t>一、当年区分成收入</t>
  </si>
  <si>
    <t>一、计提保障性住房资金</t>
  </si>
  <si>
    <t>二、上年结转</t>
  </si>
  <si>
    <t>二、政府投资项目（含征地拆迁项目）</t>
  </si>
  <si>
    <t>三、偿还专项债券本息支出</t>
  </si>
  <si>
    <t>四、债券发行费用支出</t>
  </si>
  <si>
    <t>总     计</t>
  </si>
  <si>
    <t>附件3-3：</t>
  </si>
  <si>
    <t>龙岗区2019年政府性基金预算上级转移支付执行情况表</t>
  </si>
  <si>
    <t>深财预调﹝2019﹞4号</t>
  </si>
  <si>
    <t>粤财教〔2017〕417号关于提前下达2018年中央补助地方国家电影事业发展专项资金的通知</t>
  </si>
  <si>
    <t>深财预﹝2019﹞1009号</t>
  </si>
  <si>
    <t>粤财科教﹝2019﹞7号下达2019年文化繁荣发展专项资金（国家电影事业发展专项资金省级分成部分用途，第二批）</t>
  </si>
  <si>
    <t>深财预﹝2019﹞1257号</t>
  </si>
  <si>
    <t>粤财科教〔2019〕91号下达2019年补助地方国家电影事业发展专项资金</t>
  </si>
  <si>
    <t>深财预调﹝2019﹞173号</t>
  </si>
  <si>
    <t>粤财教﹝2019﹞32号下达2019年文化繁荣发展专项资金（国家电影事业发展专项资金省级分成部分用途，第一批）</t>
  </si>
  <si>
    <t>深财预调﹝2019﹞174号</t>
  </si>
  <si>
    <t>粤财教﹝2019﹞91号下达2019年补助地方国家电影事业发展专项资金</t>
  </si>
  <si>
    <t>深财预﹝2019﹞565号</t>
  </si>
  <si>
    <t>下达2019年1月市投区建项目指标（深发改﹝2019﹞138号）</t>
  </si>
  <si>
    <t>深财预﹝2019﹞611号</t>
  </si>
  <si>
    <t>下达2019年2月市投区建项目指标（深发改﹝2019﹞172号）</t>
  </si>
  <si>
    <t>深财预﹝2019﹞1093号</t>
  </si>
  <si>
    <t>下达龙岗区水污染治理专项债券转贷资金</t>
  </si>
  <si>
    <t>深财预﹝2019﹞1641号</t>
  </si>
  <si>
    <t>下达第七批市投区建指标</t>
  </si>
  <si>
    <t>12月17日新增</t>
  </si>
  <si>
    <t>深财预﹝2019﹞483号</t>
  </si>
  <si>
    <t>提前下达2019年福彩公益金2296002</t>
  </si>
  <si>
    <t>纳入预算统筹安排</t>
  </si>
  <si>
    <t>深财预调﹝2019﹞62号</t>
  </si>
  <si>
    <t>下达2019年市级体育彩票公益金补助金</t>
  </si>
  <si>
    <t>部门结转51.35万元至2020年使用</t>
  </si>
  <si>
    <t>深财预调﹝2019﹞63号</t>
  </si>
  <si>
    <t>部门结转11.60万元至2020年使用</t>
  </si>
  <si>
    <t>深财预﹝2019﹞1310号</t>
  </si>
  <si>
    <t>粤财社〔2019〕132号下达2019年中央集中彩票公益金支持社会福利事业专项资金</t>
  </si>
  <si>
    <t>深财预﹝2019﹞1597号</t>
  </si>
  <si>
    <t>下达2019年文化繁荣发展专项资金（群众体育、竞技体育）</t>
  </si>
  <si>
    <t>部门结转32.50万元至2020年使用</t>
  </si>
  <si>
    <t>深财预﹝2019﹞1623号</t>
  </si>
  <si>
    <t>粤财社﹝2019﹞202号下达2019年中央专项彩票公益金支持开展居家和社区养老改革试点补助资金</t>
  </si>
  <si>
    <t>部门结转217万元
至2020年使用</t>
  </si>
  <si>
    <t>深财预调﹝2019﹞144号</t>
  </si>
  <si>
    <t>下达市级福彩公益金配套资金</t>
  </si>
  <si>
    <t>部门结转333万元
至2020年使用</t>
  </si>
  <si>
    <t>深财预调﹝2019﹞154号</t>
  </si>
  <si>
    <t>下拨2019年度高水平运动项目学校、体育传统项目学校扶持经费</t>
  </si>
  <si>
    <t>部门结转267万元
至2020年使用</t>
  </si>
  <si>
    <t>12月17日新增，结转数在2020年预算口安排</t>
  </si>
  <si>
    <t>深财预﹝2019﹞569号</t>
  </si>
  <si>
    <t>返拨各区（新区）2018年国有土地出让收入</t>
  </si>
  <si>
    <t>深财预﹝2019﹞1361号</t>
  </si>
  <si>
    <t>返拨各区（新区）2019年7月国有土地出让收入</t>
  </si>
  <si>
    <t>深财预﹝2019﹞1480号</t>
  </si>
  <si>
    <t>返拨各区（新区）2019年8月国有土地出让收入</t>
  </si>
  <si>
    <t>深财预﹝2019﹞1492号</t>
  </si>
  <si>
    <t>返拨各区（新区）2019年9月国有土地出让收入</t>
  </si>
  <si>
    <t>深财预﹝2019﹞1567号</t>
  </si>
  <si>
    <t>返拨各区（新区）2019年10月国有土地出让收入</t>
  </si>
  <si>
    <t>转移性支出总计</t>
  </si>
  <si>
    <t>附件3-4：</t>
  </si>
  <si>
    <t>龙岗区2020年政府性基金预算上级转移支付汇总表</t>
  </si>
  <si>
    <t>功能科目</t>
  </si>
  <si>
    <t>福彩公益金</t>
  </si>
  <si>
    <t>已纳入预算</t>
  </si>
  <si>
    <t>体彩公益金</t>
  </si>
  <si>
    <t>附件4：</t>
  </si>
  <si>
    <t>龙岗区2020年国有资本经营收支预算（草案）表</t>
  </si>
  <si>
    <t>收          入</t>
  </si>
  <si>
    <t>支          出</t>
  </si>
  <si>
    <t>项        目</t>
  </si>
  <si>
    <t>国有资本经营收入</t>
  </si>
  <si>
    <t>国有资本经营预算支出</t>
  </si>
  <si>
    <t xml:space="preserve">    利润收入</t>
  </si>
  <si>
    <t xml:space="preserve">   其他国有资本经营预算支出</t>
  </si>
  <si>
    <t xml:space="preserve">    股利、股息收入</t>
  </si>
  <si>
    <t>本年收入合计</t>
  </si>
  <si>
    <t>本年支出合计</t>
  </si>
  <si>
    <t xml:space="preserve">    上年结转</t>
  </si>
  <si>
    <t>结转下年</t>
  </si>
  <si>
    <t>收 入 总 计</t>
  </si>
  <si>
    <t>支 出 总 计</t>
  </si>
  <si>
    <t>附件5-1：</t>
  </si>
  <si>
    <t>2019年龙岗区地方政府债务限额及余额情况表</t>
  </si>
  <si>
    <t>单位：亿元</t>
  </si>
  <si>
    <t>地区</t>
  </si>
  <si>
    <t>2019年债务限额</t>
  </si>
  <si>
    <t>2019年债务余额预计执行数</t>
  </si>
  <si>
    <t>一般债务</t>
  </si>
  <si>
    <t>专项债务</t>
  </si>
  <si>
    <t xml:space="preserve">    龙岗区</t>
  </si>
  <si>
    <t>附件5-2：</t>
  </si>
  <si>
    <t>2019年龙岗区地方政府一般债务限额和余额情况表</t>
  </si>
  <si>
    <r>
      <rPr>
        <b/>
        <sz val="12"/>
        <rFont val="宋体"/>
        <charset val="134"/>
      </rPr>
      <t>项</t>
    </r>
    <r>
      <rPr>
        <b/>
        <sz val="12"/>
        <rFont val="宋体"/>
        <charset val="134"/>
      </rPr>
      <t>目</t>
    </r>
  </si>
  <si>
    <t>预算数</t>
  </si>
  <si>
    <t>执行数</t>
  </si>
  <si>
    <t>一、2018年末地方政府一般债务余额实际数</t>
  </si>
  <si>
    <t>二、2019年末地方政府一般债务余额限额</t>
  </si>
  <si>
    <t>三、2019年地方政府一般债务发行额</t>
  </si>
  <si>
    <t xml:space="preserve">    中央转贷地方的国际金融组织和外国政府贷款</t>
  </si>
  <si>
    <t xml:space="preserve">    2019年地方政府一般债券发行额</t>
  </si>
  <si>
    <t>四、2019年地方政府一般债务还本额</t>
  </si>
  <si>
    <t>五、2019年末地方政府一般债务余额预计执行数</t>
  </si>
  <si>
    <t>附件5-3：</t>
  </si>
  <si>
    <t>2019年龙岗区地方政府专项债务限额和余额情况表</t>
  </si>
  <si>
    <t>一、2018年末地方政府专项债务余额实际数</t>
  </si>
  <si>
    <t>二、2019年末地方政府专项债务余额限额</t>
  </si>
  <si>
    <t>三、2019年地方政府专项债务发行额</t>
  </si>
  <si>
    <t>四、2019年地方政府专项债务还本额</t>
  </si>
  <si>
    <t>五、2019年末地方政府专项债务余额预计执行数</t>
  </si>
  <si>
    <t>附件5-4：</t>
  </si>
  <si>
    <t>龙岗区地方政府债券发行及还本付息情况表</t>
  </si>
  <si>
    <t>本地区</t>
  </si>
  <si>
    <t>本级</t>
  </si>
  <si>
    <t>一、2019年发行预计执行数</t>
  </si>
  <si>
    <t>（一）一般债券</t>
  </si>
  <si>
    <t xml:space="preserve">   其中：再融资债券</t>
  </si>
  <si>
    <t>（二）专项债券</t>
  </si>
  <si>
    <t>二、2019年还本预计执行数</t>
  </si>
  <si>
    <t>三、2019年付息预计执行数</t>
  </si>
  <si>
    <t>四、2020年还本预算数</t>
  </si>
  <si>
    <t>五、2020年付息预算数</t>
  </si>
  <si>
    <t>附件5-5：</t>
  </si>
  <si>
    <t>2020年龙岗区地方政府债务限额提前下达情况表</t>
  </si>
  <si>
    <t>区划</t>
  </si>
  <si>
    <t>提前下达的2020年地方政府债务新增限额</t>
  </si>
  <si>
    <t>一般债务限额</t>
  </si>
  <si>
    <t>专项债务限额</t>
  </si>
  <si>
    <t>龙岗区</t>
  </si>
  <si>
    <t>附件5-6：</t>
  </si>
  <si>
    <t>龙岗区地方政府债券分年度偿还计划情况表</t>
  </si>
  <si>
    <t>债券类型</t>
  </si>
  <si>
    <t>2019年末余额</t>
  </si>
  <si>
    <t>2020年</t>
  </si>
  <si>
    <t>2021年</t>
  </si>
  <si>
    <t>2022年</t>
  </si>
  <si>
    <t>2023年</t>
  </si>
  <si>
    <t>2024年及以后年度</t>
  </si>
  <si>
    <t>偿还资金来源</t>
  </si>
  <si>
    <t>一般债券</t>
  </si>
  <si>
    <t>一般公共预算</t>
  </si>
  <si>
    <t>专项债券</t>
  </si>
  <si>
    <t>政府性基金预算</t>
  </si>
  <si>
    <t>附件6：</t>
  </si>
  <si>
    <t>龙岗区2020年税收返还和转移支付分地区汇总表</t>
  </si>
  <si>
    <t>地区1</t>
  </si>
  <si>
    <t>地区2</t>
  </si>
  <si>
    <t>地区3</t>
  </si>
  <si>
    <t>......</t>
  </si>
  <si>
    <t>一、税收返还</t>
  </si>
  <si>
    <t>二、一般转移支付</t>
  </si>
  <si>
    <t>三、专项转移支付</t>
  </si>
  <si>
    <t>分地区转移支付合计</t>
  </si>
  <si>
    <t>待安排的转移支付资金</t>
  </si>
  <si>
    <t>合计转移支付</t>
  </si>
  <si>
    <t>附件7：</t>
  </si>
  <si>
    <r>
      <rPr>
        <b/>
        <sz val="20"/>
        <color theme="1"/>
        <rFont val="宋体"/>
        <charset val="134"/>
        <scheme val="minor"/>
      </rPr>
      <t>龙岗区2020</t>
    </r>
    <r>
      <rPr>
        <b/>
        <sz val="20"/>
        <color indexed="8"/>
        <rFont val="宋体"/>
        <charset val="134"/>
      </rPr>
      <t>年社会保险基金预算表</t>
    </r>
  </si>
  <si>
    <t>项 目</t>
  </si>
  <si>
    <t>企业职工基本</t>
  </si>
  <si>
    <t>养老保险基金</t>
  </si>
  <si>
    <t>机关事业单位基</t>
  </si>
  <si>
    <t>本养老保险基金</t>
  </si>
  <si>
    <t>城乡居民基本</t>
  </si>
  <si>
    <t>城镇职工基本</t>
  </si>
  <si>
    <t>医疗保险基金</t>
  </si>
  <si>
    <t>居民基本医</t>
  </si>
  <si>
    <t>疗保险基金</t>
  </si>
  <si>
    <t>工伤保险基金失业保险基金生育保险基金</t>
  </si>
  <si>
    <t>一、收入</t>
  </si>
  <si>
    <t>其中:1.保险费收入</t>
  </si>
  <si>
    <t xml:space="preserve">     2.利息收入</t>
  </si>
  <si>
    <t xml:space="preserve">     3.财政补贴收入</t>
  </si>
  <si>
    <t xml:space="preserve">     4.其他收入</t>
  </si>
  <si>
    <t xml:space="preserve">     5 转移收入</t>
  </si>
  <si>
    <t>二、支出</t>
  </si>
  <si>
    <t>其中:1.社会保险待遇支出</t>
  </si>
  <si>
    <t xml:space="preserve">     2.其他支出</t>
  </si>
  <si>
    <t xml:space="preserve">     3.转移支出</t>
  </si>
  <si>
    <t>三、本年收支结余</t>
  </si>
  <si>
    <t>四、年末滚存结余</t>
  </si>
  <si>
    <t>附件8：</t>
  </si>
  <si>
    <t>龙岗区2020年重大项目计划(草案)</t>
  </si>
  <si>
    <t>建设单位</t>
  </si>
  <si>
    <t>项目名称</t>
  </si>
  <si>
    <t>建设规模及建设地址</t>
  </si>
  <si>
    <t>建设地址</t>
  </si>
  <si>
    <t>本年度计划
完成投资</t>
  </si>
  <si>
    <t>区建筑工务署</t>
  </si>
  <si>
    <t>深圳市平湖医院</t>
  </si>
  <si>
    <t>用地面积56154㎡，建筑面积324910㎡，建设内容为一座裙楼（6层，包含急诊楼、门诊楼、医技楼）及2栋高楼（24层住院楼、17层行政综合楼），分两期实施，建成后可提供床位1500张、1900个地下停车位。</t>
  </si>
  <si>
    <t>平湖街道，平湖社区</t>
  </si>
  <si>
    <t>平湖金融基地九年一贯制学校新建工程</t>
  </si>
  <si>
    <t>用地面积24822㎡，建筑面积55234㎡，建成后新增学位2700个。</t>
  </si>
  <si>
    <t>平湖街道，东环大道西侧，老琅路北侧</t>
  </si>
  <si>
    <t>平湖中心小学改扩建工程</t>
  </si>
  <si>
    <t>用地面积42349㎡，建筑面积56385㎡，扩建为72班九年一贯学校（48班小学、24班初中），新增学位3360个。</t>
  </si>
  <si>
    <t>平湖街道</t>
  </si>
  <si>
    <t>深圳外国语学校（龙岗）国际部永久校区</t>
  </si>
  <si>
    <t>用地面积51000㎡，建筑面积140000㎡，建设内容为剧场、行政、低年级1～5年级教学组团、图书馆、高年级6～12年级教学组团、宿舍、体育馆等，扩建为48班12年一贯制学校。</t>
  </si>
  <si>
    <t>坂田街道，北部落坑片区，象塘路与清丽路交叉口东侧，靠近岗头水库</t>
  </si>
  <si>
    <t xml:space="preserve">
坂田街道实验学校扩建工程</t>
  </si>
  <si>
    <t>用地面积12233㎡，建筑面积49585㎡。建设内容为深圳市实验学校坂田分校的扩建工程，建成后新增加36班初中部。</t>
  </si>
  <si>
    <t>坂田街道</t>
  </si>
  <si>
    <t>坂田街道办</t>
  </si>
  <si>
    <t>坂田街道雪象体育公园</t>
  </si>
  <si>
    <t>用地面积1422500㎡，园路面积59000㎡，铺装场地面积50000㎡，生态停车场面积4278㎡，绿地面积1229700㎡，总建筑面积3170㎡。建设内容为以生态保护为前提，植入体育特色的公园。划分为滨水休闲区、健康运动区以及生态游憩区。</t>
  </si>
  <si>
    <t>坂田街道，坂雪岗科技城片区</t>
  </si>
  <si>
    <t>龙岗区第二人民医院迁址重建工程（布吉罗岗地块）</t>
  </si>
  <si>
    <t>建筑面积105998㎡，建设内容为门诊部、急诊部、住院部、医技科室、保障系统、行政管理和院内生活用房等七项设施用房，建成后可提供床位500张。</t>
  </si>
  <si>
    <t xml:space="preserve">
布吉街道</t>
  </si>
  <si>
    <t>市建筑工务署</t>
  </si>
  <si>
    <t>深圳市第三人民医院改扩建工程（二期）</t>
  </si>
  <si>
    <t xml:space="preserve">用地面积14491㎡，建筑面积283220㎡，建设内容为综合住院大楼G栋、多功能综合楼、传染病住院大楼E栋，建成后可提供床位950张。
</t>
  </si>
  <si>
    <t xml:space="preserve">
南湾街道，布澜路29号</t>
  </si>
  <si>
    <t>龙岗区第四人民医院（南湾人民医院）改扩建工程</t>
  </si>
  <si>
    <t>用地面积22414.58㎡，建筑面积105330㎡，建设内容为在南岭医院原址上拆除重建，建成后可提供床位500张。</t>
  </si>
  <si>
    <t>南湾街道，南岭社区</t>
  </si>
  <si>
    <t>南湾街道布澜小学新建工程</t>
  </si>
  <si>
    <t>用地面积9213㎡，建筑面积22856㎡，建成后新建24班小学。</t>
  </si>
  <si>
    <t>南湾街道</t>
  </si>
  <si>
    <t>吉华街道办</t>
  </si>
  <si>
    <t>甘坑新镇基础设施提升改造工程</t>
  </si>
  <si>
    <t>建设内容为甘坑客家小镇内部市政管网、周边道路景观及通达性提升改善，甘坑客家小镇内部市政管网提升、秀峰路扩宽及景观提升、甘李路南段景观提升、甘李路/布澜路交叉口优化、吉华路/布龙路交叉口优化、老围村社区公园、三联郊野公园等七个项目整体打包以DB模式实施并纳入政府投资。</t>
  </si>
  <si>
    <t>吉华街道，甘坑三联片区</t>
  </si>
  <si>
    <t>龙岗区第三人民医院医技内科楼项目</t>
  </si>
  <si>
    <t>用地面积28408㎡，建筑面积100519㎡，建设内容为医技内科楼，含医疗业务用房、地下车库、氧气站、连廊，建成后可提供床位500张。</t>
  </si>
  <si>
    <t>横岗街道</t>
  </si>
  <si>
    <t>梧桐学校改扩建工程</t>
  </si>
  <si>
    <t>建筑面积23915㎡，建设内容为校舍用房、架空层、地下室等。扩建为54班九年一贯制学校，新增学位900个。</t>
  </si>
  <si>
    <t>龙岗区人民医院扩建项目—深圳市龙岗区健康管理服务中心大楼</t>
  </si>
  <si>
    <t>用地面积9335㎡，建筑面积60851㎡，建设内容为1栋健康管理服务中心大楼，地上20层、地下室3层，建成后可提供床位1000张。</t>
  </si>
  <si>
    <t>龙城街道</t>
  </si>
  <si>
    <t>龙岗区耳鼻咽喉医院迁址重建工程</t>
  </si>
  <si>
    <t>用地面积22913㎡，建设内容为龙岗耳鼻咽喉医院，耳鼻咽喉医院研究所、区医学检验中心以及区医学科研中心。建成后龙岗耳鼻咽喉医院可提供床位为600张，含耳鼻咽喉科350张、眼科150张、口腔科100张。</t>
  </si>
  <si>
    <t>龙岗区妇幼保健院扩建工程</t>
  </si>
  <si>
    <t>用地面积21129㎡，建筑面积120032㎡，建成后将提供总床位1000张，停车位745个。</t>
  </si>
  <si>
    <t>龙岗区中医院医疗综合大楼</t>
  </si>
  <si>
    <t>用地面积13280㎡，建筑面积96510㎡，建设内容为医疗综合大楼，本次拟扩建600床，建成后可提供床位1100张。</t>
  </si>
  <si>
    <t xml:space="preserve">
龙城街道</t>
  </si>
  <si>
    <t xml:space="preserve">                             区住房建设局</t>
  </si>
  <si>
    <t>深圳国际大学园配套地块项目</t>
  </si>
  <si>
    <t>用地面积18398㎡，建筑面积15980㎡，建设内容为科研用房、配套用房、架空绿化等。</t>
  </si>
  <si>
    <t>龙城街道，大运自然公园内</t>
  </si>
  <si>
    <t>龙城街道平安里学校改扩建工程</t>
  </si>
  <si>
    <t>建设内容为拆除现状体育馆，扩建为81班九年一贯制学校。</t>
  </si>
  <si>
    <t>龙城街道，夏长璐与平安里二路交汇处</t>
  </si>
  <si>
    <t>兰著学校改扩建工程</t>
  </si>
  <si>
    <t>用地面积50215㎡，建筑面积54733㎡，建设内容为利用学校东侧运动场地新建教学综合楼、体育馆、游泳馆、食堂、多功能厅及架空运动场。扩建为81班九年一贯制学校（小学54班，初中27班），新增学位1050个。</t>
  </si>
  <si>
    <t>龙城街道，回龙路与协同路交汇处</t>
  </si>
  <si>
    <t>龙城街道悦澜山小学新建工程</t>
  </si>
  <si>
    <t>用地面积11340㎡，建筑面积28276㎡，建成后办学规模扩至30班。</t>
  </si>
  <si>
    <t>龙城街道，悦澜山花园北侧，龙城大道与佳福路交汇处</t>
  </si>
  <si>
    <t>龙城街道福安学校改扩建工程</t>
  </si>
  <si>
    <t>新增建筑面积31684.54㎡，建设内容为在学校用地南侧运动场新建1栋地下2层、地上6层的综合教学楼。建成后办学规模扩至72班。</t>
  </si>
  <si>
    <t xml:space="preserve">
依山郡小学改扩建工程</t>
  </si>
  <si>
    <t>用地面积11983㎡，建筑面积15118㎡，建设内容为拟拆除现状体育馆新建1栋教学综合楼，建成后扩建为30班小学，新增学位600个。</t>
  </si>
  <si>
    <t xml:space="preserve">
龙城街道，愉龙路227号</t>
  </si>
  <si>
    <t>龙岗中心医院外科综合楼工程</t>
  </si>
  <si>
    <t>用地面积13000㎡，建筑面积141766㎡，建设内容为外科综合楼，含七项设施用房、科研教学用房，建成后可提供床位1700张。</t>
  </si>
  <si>
    <t xml:space="preserve">龙岗街道，龙岗大道（龙岗段）6082号 </t>
  </si>
  <si>
    <t>龙岗中心小学扩建翻新工程</t>
  </si>
  <si>
    <t xml:space="preserve">建筑面积48602㎡，拟扩建为54班九年一贯学校（36班小学、18班初中），新增学位900个。
</t>
  </si>
  <si>
    <t xml:space="preserve">
宝龙街道，环苑路南侧</t>
  </si>
  <si>
    <t>区住房建设局</t>
  </si>
  <si>
    <t>龙岗区保障性住房项目（2016年）</t>
  </si>
  <si>
    <t>包含三个地块，其中宝龙工业城地块：建筑面积133500㎡；龙岗地块：建筑面积185000㎡；南约地块：建筑面积56000㎡。建设内容为九年一贯制学校（72班）保障房的配套项目，共有安居型商品房2700套。</t>
  </si>
  <si>
    <t>宝龙街道，宝龙科技城</t>
  </si>
  <si>
    <t>龙岗区第六人民医院二期工程</t>
  </si>
  <si>
    <t xml:space="preserve">用地面积27601㎡，建筑面积182884㎡，建成后可提供床位1300张，其中医疗床位600张，养老床位700张。
</t>
  </si>
  <si>
    <t xml:space="preserve">
坪地街道，坪地人民医院北侧 </t>
  </si>
  <si>
    <t xml:space="preserve">
坪地第二小学改扩建工程</t>
  </si>
  <si>
    <t>用地面积28547㎡，建筑面积46914㎡，建设内容为对保留校舍进行装饰和局部改造等。 新增18班初中，新增学位900个。</t>
  </si>
  <si>
    <t>坪地街道，富坪中路与红领巾路交汇处</t>
  </si>
  <si>
    <t>国际低碳城产业园区配套住房工程</t>
  </si>
  <si>
    <t>用地面积11854㎡，建筑面积76476㎡。建设内容为人才保障房，同时配套建设社区健康服务中心、社区警务室、文化活动室和6班幼儿园，建成后可提供520套住房。</t>
  </si>
  <si>
    <t xml:space="preserve">
坪地街道，高桥工业园低碳城启动区GQ04-02地块</t>
  </si>
  <si>
    <t>深圳市深水龙岗水务集团有限公司</t>
  </si>
  <si>
    <t>深圳市龙岗区社区给水管网改造八期工程-深水龙岗水务集团供水片区</t>
  </si>
  <si>
    <t>建设内容为对所属社区范围给水管网进行改造。覆盖龙岗区辖区内龙岗、龙城等街道内的供水管网。</t>
  </si>
  <si>
    <t xml:space="preserve">
相关街道</t>
  </si>
  <si>
    <t>深圳市吉华医院（原市肿瘤医院）</t>
  </si>
  <si>
    <t>用地面积92132㎡，建筑面积586394㎡，建设内容为急诊急救中心、门诊医技楼、病房楼、办公综合楼等，建成后可提供床位3000张。</t>
  </si>
  <si>
    <t>坂田街道，吉华路西南侧</t>
  </si>
  <si>
    <t>区城管和综合执法局</t>
  </si>
  <si>
    <t>岗头科技公园</t>
  </si>
  <si>
    <t>用地面积1500000㎡，建设内容为修复和保护生态资源、园林绿化种植、园建及相关配套设施。</t>
  </si>
  <si>
    <t>坂田街道，岗头社区落坑片区</t>
  </si>
  <si>
    <t>区文化广电旅游体育局</t>
  </si>
  <si>
    <t>布吉文体中心</t>
  </si>
  <si>
    <t>用地面积19400㎡，建筑面积98000㎡，建设内容为文化馆、图书馆、体育馆、文化展厅、剧场等。</t>
  </si>
  <si>
    <t>布吉街道，办事处办公大楼旁</t>
  </si>
  <si>
    <t>布吉供水有限公司</t>
  </si>
  <si>
    <t>龙岗区优质饮用水入户工程（2019年）—布吉供水有限公司供水片区</t>
  </si>
  <si>
    <t xml:space="preserve">预计完成55个小区，涉及用户47806，建设内容为从市政给水管道接驳口开始，由室外埋地生活供水管道至各住宅用户入墙处的给水支管范围内，进行管材的更换、管位的优化布置等。
</t>
  </si>
  <si>
    <t>社区给水管网改造七期工程——布吉供水有限公司供水片区</t>
  </si>
  <si>
    <t>建设内容为新建DN50—DN300给水管道约30km。</t>
  </si>
  <si>
    <t>布吉街道</t>
  </si>
  <si>
    <t>区教育局</t>
  </si>
  <si>
    <t>平湖街道天鹅九年一贯制学校新建工程</t>
  </si>
  <si>
    <t>建筑面积34134㎡，建设为36班九年一贯制学校，提供学位1800个。</t>
  </si>
  <si>
    <t>区档案馆</t>
  </si>
  <si>
    <t>龙岗区档案馆工程项目</t>
  </si>
  <si>
    <t>用地面积为8000㎡，建筑面积约99160㎡，其中，地上总建设面积为67160㎡，含档案馆、方志馆、行政服务大厅以及图书馆分馆，档案馆建筑面积为39160㎡，方志馆建筑面积为7000㎡，行政服务大厅建筑面积为15000㎡，图书馆分馆建筑面积为6000㎡；地下总建筑面积为32000㎡，分4层，每层建筑面积为8000㎡，包括调剂书库、设备用房、人防以及停车位。</t>
  </si>
  <si>
    <t>横岗街道，六约北深坑片区</t>
  </si>
  <si>
    <t>横岗文体广场改造工程</t>
  </si>
  <si>
    <t>用地面积64049㎡，建设内容为地上设体验中心、阅读中心、艺术中心、体育中心、配套商业服务及公园管理用房等。</t>
  </si>
  <si>
    <t xml:space="preserve">
横岗街道，红棉一路和湛宝路交叉路口</t>
  </si>
  <si>
    <t>龙岗区优质饮用水入户工程（2019年）- 深水龙岗水务集团供水片区</t>
  </si>
  <si>
    <t>建设内容为优质饮用水入户工程（2019年）——深水龙岗水务集团供水片区，需改造小区埋地管及入户管。</t>
  </si>
  <si>
    <t>横岗街道、平湖街道、龙岗街道</t>
  </si>
  <si>
    <t>中国医学科学院肿瘤医院深圳医院</t>
  </si>
  <si>
    <t>深圳市质子肿瘤治疗中心</t>
  </si>
  <si>
    <t>用地面积6000㎡，建筑面积35062㎡，建设内容为1栋13层质子中心大楼、设置治疗室、GCP病房、病房、诊室等。</t>
  </si>
  <si>
    <t>龙城街道，宝荷路南侧</t>
  </si>
  <si>
    <t>区住房和建设局</t>
  </si>
  <si>
    <t>龙城街道回龙埔新工业区城市更新单元安居型商品房</t>
  </si>
  <si>
    <t>用地面积为10789㎡；建筑面积为58136㎡，建设两栋塔楼、地上31层，地下2层地下室，项目配三层幼儿园；共计540套安居型商品房。</t>
  </si>
  <si>
    <t>龙城街道，愉龙路与盐龙大道交汇口</t>
  </si>
  <si>
    <t>龙岗区骨科医院二期工程</t>
  </si>
  <si>
    <t>建筑面积39748.18㎡，其中七项设施23553㎡，教学用房2000㎡，医师规范化培训用房2100㎡，预防保健用房175㎡，地下停车库11240㎡，风雨连廊680㎡。建成后可提供床位150张。</t>
  </si>
  <si>
    <t>宝龙街道</t>
  </si>
  <si>
    <t>龙岗区大数据中心</t>
  </si>
  <si>
    <t>智慧龙岗2.0A包项目</t>
  </si>
  <si>
    <t>含15个子项，以ICT基础硬件及平台软件为主，开展硬件、软件、数据、安全四大基础性资源支撑工程建设。涵盖深化民生服务、提高社会治理水平、一体化政务大数据共享共用、加强业务应用支撑、扩展信息化基础设施建设等方面。</t>
  </si>
  <si>
    <t>相关街道</t>
  </si>
  <si>
    <t xml:space="preserve">                           深圳市地铁集团有限公司</t>
  </si>
  <si>
    <t>深圳市城市轨道交通10号线工程</t>
  </si>
  <si>
    <t>起自福田区福田口岸站，终至龙岗区平湖中心站，全长29.312km，设站24座，均为地下站。</t>
  </si>
  <si>
    <t>福田区，龙岗区</t>
  </si>
  <si>
    <t>深圳市地铁集团有限公司</t>
  </si>
  <si>
    <t>深圳市城市轨道交通14号线工程</t>
  </si>
  <si>
    <t>起自福田区岗厦北枢纽，终至坪山区沙田站，全长52.46km，设站15座，均为地下站。</t>
  </si>
  <si>
    <t>福田区,罗湖区,龙岗区,坪山区</t>
  </si>
  <si>
    <t xml:space="preserve">                       深圳市地铁集团有限公司</t>
  </si>
  <si>
    <t>深圳市城市轨道交通16号线工程</t>
  </si>
  <si>
    <t>起自大运站，终至田心站，全长29.2km，设 站24座，采用地下敷设方式。</t>
  </si>
  <si>
    <t>龙岗区、坪山区</t>
  </si>
  <si>
    <t>深圳华昱东部高速公路有限公司</t>
  </si>
  <si>
    <t>深圳市东部过境高速公路（一期工程）</t>
  </si>
  <si>
    <t>全长约32.4km，采用80km/h的高速公路标准建设，双向8车道。</t>
  </si>
  <si>
    <t>罗湖区,龙岗区</t>
  </si>
  <si>
    <t>深圳惠盐高速公路有限公司</t>
  </si>
  <si>
    <t>惠盐高速公路深圳段改扩建工程</t>
  </si>
  <si>
    <t>起自坪地街道坑塘径，终至荷坳与G15机荷段连接处，路线全长约20.305km，全线采用设计速度100km/h的双向八车道高速公路设计标准，道路基宽度为41m。</t>
  </si>
  <si>
    <t xml:space="preserve">
龙岗街道、龙城街道、坪地街道、园山街道、宝龙街道</t>
  </si>
  <si>
    <t>市交通运输局</t>
  </si>
  <si>
    <t>南坪快速路三期工程</t>
  </si>
  <si>
    <t>西起水官高速公路横坪立交，东至聚龙路，建设道路长约22.2km，城市快速路，横跨龙岗、坪山区。</t>
  </si>
  <si>
    <t>龙岗区,坪山区</t>
  </si>
  <si>
    <t>深圳市交通运输局</t>
  </si>
  <si>
    <t>深圳市梅观高速公路清湖南段市政道路工程</t>
  </si>
  <si>
    <t>建设道路长7.98公里，南起原梅林主线收费站南端，北至石清大道与清湖立交之间，主线道路等级为城市快速路，双向八车道，辅道双向6车道。</t>
  </si>
  <si>
    <t xml:space="preserve">
龙岗区坂田街道；龙华区民治街道龙华街道</t>
  </si>
  <si>
    <t xml:space="preserve">
布坂联络道市政工程</t>
  </si>
  <si>
    <t>起自板田环城路，终至布吉三联路，建设道路长约3.26km，包括道路工程、桥梁工程、隧道工程、交通工程、绿化工程等。</t>
  </si>
  <si>
    <t>碧新路主线提速工程一期（碧新路跨龙平路、龙翔大道）工程</t>
  </si>
  <si>
    <t>南起龙岗河大桥南侧，北至跨回龙河的现状箱涵前（不包括箱涵）。全长约866.63m，道路红线60m，设计车速50km/h。</t>
  </si>
  <si>
    <t>龙城街道、龙岗街道</t>
  </si>
  <si>
    <t>中心城15号路（怡翠路）南段市政工程</t>
  </si>
  <si>
    <t>中心城15号路南段工程，北起龙岗大道，南至爱南路，道路等级为主干路，红线宽度60m，双向六车道，道路全长约970m。该项目分2个标段实施，其中龙腾三路至爱南段已于2015年完工，龙岗大道至龙腾三路段因征地拆迁问题至今尚未施工招标，该段长约480m。</t>
  </si>
  <si>
    <t>宝龙街道办</t>
  </si>
  <si>
    <t>宝龙片区道路提升改造EPC项目</t>
  </si>
  <si>
    <t>建设内容包含宝龙大道在内的14条道路提升改造，新建6座人行天桥。</t>
  </si>
  <si>
    <t>吉桥路</t>
  </si>
  <si>
    <t>南起环坪路（龙腾路），北至惠州新圩，近期规划全长约0.43km，远期总长2.3km，城市主干道，红线宽40m。为坪地街道中心区域连接外环高速公路和惠州新圩的南北向主要出入通道。</t>
  </si>
  <si>
    <t xml:space="preserve">
坪地街道</t>
  </si>
  <si>
    <t>惠华路（环观南路-嘉湖路）</t>
  </si>
  <si>
    <t>起自环观南路终于嘉湖路，全长835m，双向6车道，城市一级主干道。在龙华区范围内长210m，道路红线占地27804.4㎡。</t>
  </si>
  <si>
    <t>坂雪岗环城路（1标下沉段）</t>
  </si>
  <si>
    <t>位于坂田街道环城路万科第五园段（K0+460-K1+300段），全长840m，规划为城市主干道，红线宽度70m，双向六车道，设计为沥青混凝土路面。道路起于坂田一号路，终点至坂雪岗大道交叉口。</t>
  </si>
  <si>
    <t>坂田街道环城路快速化改造工程(吉华路-坂澜大道)</t>
  </si>
  <si>
    <t>起自坂银通道，终至坂李大道，全长约6km。建设内容为对现状环城东路和坂澜大道沿线节点进行立交化改造，新增立交7处，下穿隧道1处，此次实施全长2.2km。</t>
  </si>
  <si>
    <t>深圳市城市轨道交通3号线四期工程</t>
  </si>
  <si>
    <t>起自3号线双龙站，终至六联站，全长9.5km，共设7座车站。</t>
  </si>
  <si>
    <t>龙岗街道、坪地街道</t>
  </si>
  <si>
    <t>深圳市城市轨道交通16号线二期工程</t>
  </si>
  <si>
    <t>起自16号线大运站，终至安良站。全长约7.81km，新增车站7座。全线采用地下敷设。</t>
  </si>
  <si>
    <t>深圳市大运综合交通枢纽工程</t>
  </si>
  <si>
    <t>为轨道3、14、16号线以及深惠城际线的换乘枢纽。建设内容为14、16号线、城际线大运站，部分地下、地 上空间，配套的交通基础设施主要为常规公交场站、停靠站 出租车和社会车辆停靠站、自行车场、风雨连廊、城市慢行 系统以及枢纽周边的市政道路等。</t>
  </si>
  <si>
    <t xml:space="preserve">
龙岗中心区</t>
  </si>
  <si>
    <t>龙岗大道大运枢纽段下沉工程（密不可分段）</t>
  </si>
  <si>
    <t>项目起点位于荷坳立交，终点位于龙岗大道爱新路口，全长约1.75km，采用地面+地下交通组织形式。市地铁集团代建范围（密不可分段，总投资约50000万元）为：地铁3号线西侧597m隧道主体结构、东侧320m隧道主体结构，以及必要的支护措施、管线迁改等；不包括：上述隧道结构工程完工后的路面工程、交通工程、附属设施（排水、通风、照明、机电等）、市政管线工程及景观绿化工程等配套工程。</t>
  </si>
  <si>
    <t>龙岗中心区</t>
  </si>
  <si>
    <t>如意路南延接东部过境通道工程项目</t>
  </si>
  <si>
    <t>起点如意路-爱南路交叉口附近，终点至东部过境通道预留的南约互通立交，全长约1.93km，红线宽度40m，双向6车道，设计速度为50km/h，为城市主干路。</t>
  </si>
  <si>
    <t>市交通运输局龙岗管理局</t>
  </si>
  <si>
    <t>龙岗大布吉片区新型公共交通项目（云巴）</t>
  </si>
  <si>
    <t>线路全长约 9.3km ，全线均为双线敷设，共设 17 站。</t>
  </si>
  <si>
    <t>布吉街道、吉华街道、南湾街道</t>
  </si>
  <si>
    <t>五和大道南坪快速连接线工程</t>
  </si>
  <si>
    <t>北起现状五和大道，沿线与民乐村委、星河雅宝科技创新园用地相邻，终点接南坪快速路。道路主线全长约1km，采用城市主干道标准设计，设计速度40km/h，道路红线宽39-55m，机动车道为双向六车道；终点南坪快速路节点为半菱形立交（含新建下穿南坪快速双向四车道45m地下通道一座，新建立交匝道总长2.249km，新建桥梁6座）。此外，连接线起点处现状五和大道与连接线平交段改造工程也纳入本项目一并实施，改造段长约0.25km。项目主要建设内容包括道路、交通、桥梁、隧道、给排水、电力、通信、照明、燃气、绿化、水土保持、管线迁改工程等。</t>
  </si>
  <si>
    <t>布吉街道、坂田街道</t>
  </si>
  <si>
    <t>市水务局</t>
  </si>
  <si>
    <t>深圳市清林径引水调蓄工程</t>
  </si>
  <si>
    <t>用地面积为31300000㎡，建设总库容186000000m³，校核蓄水位80m，龙清输水规模600000m³/d，东清输水规模400000m³/d。</t>
  </si>
  <si>
    <t>龙城街道，清林径水库</t>
  </si>
  <si>
    <t>龙城街道办</t>
  </si>
  <si>
    <t>2019-2020年城中村综合整治工程</t>
  </si>
  <si>
    <t>龙城辖区内2019年14条村、2020年7条村，共21条城中村。</t>
  </si>
  <si>
    <t>深圳国际低碳城启动区-综合管廊二期工程</t>
  </si>
  <si>
    <t>管廊全长约1406m。项目内容包括综合管廊主体、基坑支护、管廊内管线、交通疏解与管线迁改、绿化迁移与恢复、管廊附属工程、监控中心。其次本次二期工程还包括一期盛佳路段管廊附属的消防、通风、机电、标识等。</t>
  </si>
  <si>
    <t>坪地街道，国际低碳城启动区</t>
  </si>
  <si>
    <t>深圳市龙岗信息管道有限公司</t>
  </si>
  <si>
    <t>阿波罗未来产业城启动区基础设施项目</t>
  </si>
  <si>
    <t>建设内容为山水一路、山水中路、山水二路、永勤路、连山一路、连山二路、连山三路、连山中路、连山四路、连山五路等所有市政道路及地下综合管廊建设、横坪路局部段地下综合管廊建设，综合管廊控制中心建设；海绵城市建设；横坪路至康贤路段大康河河道整治；其他密切相关的配套建设。</t>
  </si>
  <si>
    <t>园山街道，阿波罗未来产业城启动区</t>
  </si>
  <si>
    <t>区水务局</t>
  </si>
  <si>
    <t>2020年龙岗区龙岗河流域、深圳河、观澜河流域河流水质提升及污水处理提质增效工程一阶段</t>
  </si>
  <si>
    <t>建设内容为一是河道水质提升，包括补水通道设施完善19.7km及附属设施、河道旧挡墙安全整治12.73km等工程；二是污水厂网提质增效，包括雨污干支管网系统完善111.37km、三水分离系统贯通等工作；三是一座通沟底泥处置厂建设，以处理市政管网底泥为目的进行通沟底泥处置厂建设；四是碧道建设，建设碧道试点40km，打造市民生活靓点。</t>
  </si>
  <si>
    <t>2020年龙岗区龙岗河流域、深圳河、观澜河流域河流水质提升及污水处理提质增效工程二阶段</t>
  </si>
  <si>
    <t>建设内容为治理龙岗区排水系统提质增效排查与评估提出的整改项目和各类管网隐患，包括两个方面：一是河道水质提升，包括暗涵汊流水环境整治等工程；二是污水厂网提质增效，包括已验收项目问题排查整治、三水分离系统贯通工程、三池整治等。</t>
  </si>
  <si>
    <t>龙岗河“一河两岸”碧道景观提升示范段</t>
  </si>
  <si>
    <t xml:space="preserve">在龙岗河沿线选取一段开展碧道建设和景观打造，高标准打造水清、岸绿、景美于一体的绿色生态长廊。
</t>
  </si>
  <si>
    <t>龙岗街道，龙城街道</t>
  </si>
  <si>
    <t>轨道14号线共建综合管廊</t>
  </si>
  <si>
    <t>起自罗湖区清水河一路北侧，终至坪山区坪山大道惠州界，长约42.3km。</t>
  </si>
  <si>
    <t>罗湖区；龙岗区；坪山区</t>
  </si>
  <si>
    <t>轨道16号线共建综合管廊</t>
  </si>
  <si>
    <t>主廊总长约28.5km，起点位于龙岗区黄阁路与龙岗大道路口，终点位于坪山区银田路（兰田路）与外环路路口。</t>
  </si>
  <si>
    <t>龙岗区；坪山区</t>
  </si>
  <si>
    <t>坪地街道六联受纳场建设工程</t>
  </si>
  <si>
    <t>用地面积370990㎡，库容量5500000m³，服务年限3年。</t>
  </si>
  <si>
    <t>坪地街道，六联社区</t>
  </si>
  <si>
    <t>平湖街道雁田水库（白坭坑片区）水质保障工程</t>
  </si>
  <si>
    <t>在现状白坭坑排水渠A、B线汇合口下游新建挡水堰，在A线现状排水涵管处新建箱涵，长约163m，新建箱涵进水口处设置闸门，并新建A线导流箱涵汇入雁田水库。B线汇入箱涵转输至东深渠。对白坭坑排水渠B线约300m堤防加高约1m。</t>
  </si>
  <si>
    <t>市交通运输局龙岗管理局/区建筑工务署</t>
  </si>
  <si>
    <t>轨道10号线沿线五和大道等道路品质提升工程</t>
  </si>
  <si>
    <t>重点围绕坂雪岗科技城内轨道10号线所在的五和大道、吉华路、坂雪岗大道，以及华为坂田基地的门户道路贝尔路，总共四条道路，全长9.36km。依据沿线道路的功能定位，打造龙岗区高品质门户大道，激发10号线沿线道路的城市活力，应充分进行场地研究，从交通改善、景观营造、品质提升、智慧建设等多个层面进行综合提升。</t>
  </si>
  <si>
    <t>南湾街道办</t>
  </si>
  <si>
    <t>百门前输变电工程</t>
  </si>
  <si>
    <t>用地面积9775㎡。</t>
  </si>
  <si>
    <t>南湾街道南岭社区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</si>
</sst>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 "/>
    <numFmt numFmtId="179" formatCode="#,##0.00_);[Red]\(#,##0.00\)"/>
    <numFmt numFmtId="180" formatCode="0.00_ "/>
    <numFmt numFmtId="181" formatCode="#,##0_);[Red]\(#,##0\)"/>
    <numFmt numFmtId="182" formatCode="#,##0_ ;[Red]\-#,##0\ "/>
    <numFmt numFmtId="183" formatCode="_ * #,##0_ ;_ * \-#,##0_ ;_ * &quot;-&quot;??_ ;_ @_ "/>
    <numFmt numFmtId="184" formatCode="0.00_);[Red]\(0.00\)"/>
  </numFmts>
  <fonts count="90">
    <font>
      <sz val="12"/>
      <name val="宋体"/>
      <charset val="134"/>
    </font>
    <font>
      <sz val="12"/>
      <color theme="1"/>
      <name val="Arial"/>
      <charset val="0"/>
    </font>
    <font>
      <sz val="18"/>
      <name val="Arial"/>
      <charset val="0"/>
    </font>
    <font>
      <sz val="14"/>
      <name val="Arial"/>
      <charset val="0"/>
    </font>
    <font>
      <sz val="11"/>
      <name val="华文仿宋"/>
      <charset val="134"/>
    </font>
    <font>
      <b/>
      <sz val="20"/>
      <color theme="1"/>
      <name val="宋体"/>
      <charset val="134"/>
    </font>
    <font>
      <b/>
      <sz val="20"/>
      <color theme="1"/>
      <name val="Arial"/>
      <charset val="0"/>
    </font>
    <font>
      <b/>
      <sz val="12"/>
      <color theme="1"/>
      <name val="宋体"/>
      <charset val="134"/>
    </font>
    <font>
      <b/>
      <sz val="12"/>
      <color theme="1"/>
      <name val="Arial"/>
      <charset val="0"/>
    </font>
    <font>
      <sz val="12"/>
      <color theme="1"/>
      <name val="宋体"/>
      <charset val="134"/>
    </font>
    <font>
      <sz val="12"/>
      <color theme="1"/>
      <name val="华文仿宋"/>
      <charset val="134"/>
    </font>
    <font>
      <sz val="11"/>
      <color theme="1"/>
      <name val="宋体"/>
      <charset val="134"/>
      <scheme val="minor"/>
    </font>
    <font>
      <sz val="11"/>
      <color theme="1"/>
      <name val="华文仿宋"/>
      <charset val="134"/>
    </font>
    <font>
      <b/>
      <sz val="20"/>
      <color theme="1"/>
      <name val="宋体"/>
      <charset val="134"/>
      <scheme val="minor"/>
    </font>
    <font>
      <b/>
      <sz val="10"/>
      <color theme="1"/>
      <name val="华文仿宋"/>
      <charset val="134"/>
    </font>
    <font>
      <sz val="10"/>
      <color theme="1"/>
      <name val="华文仿宋"/>
      <charset val="134"/>
    </font>
    <font>
      <sz val="12"/>
      <name val="华文仿宋"/>
      <charset val="134"/>
    </font>
    <font>
      <b/>
      <sz val="18"/>
      <name val="华文仿宋"/>
      <charset val="134"/>
    </font>
    <font>
      <b/>
      <sz val="12"/>
      <color theme="1"/>
      <name val="华文仿宋"/>
      <charset val="134"/>
    </font>
    <font>
      <sz val="11"/>
      <color theme="1"/>
      <name val="宋体"/>
      <charset val="134"/>
    </font>
    <font>
      <sz val="11"/>
      <color indexed="8"/>
      <name val="华文仿宋"/>
      <charset val="134"/>
    </font>
    <font>
      <sz val="16"/>
      <color indexed="8"/>
      <name val="黑体"/>
      <charset val="134"/>
    </font>
    <font>
      <sz val="11"/>
      <color indexed="8"/>
      <name val="宋体"/>
      <charset val="134"/>
    </font>
    <font>
      <sz val="12"/>
      <color indexed="8"/>
      <name val="宋体"/>
      <charset val="134"/>
    </font>
    <font>
      <b/>
      <sz val="12"/>
      <color indexed="8"/>
      <name val="宋体"/>
      <charset val="134"/>
    </font>
    <font>
      <sz val="16"/>
      <name val="黑体"/>
      <charset val="134"/>
    </font>
    <font>
      <b/>
      <sz val="12"/>
      <name val="宋体"/>
      <charset val="134"/>
    </font>
    <font>
      <b/>
      <sz val="11"/>
      <name val="宋体"/>
      <charset val="134"/>
    </font>
    <font>
      <sz val="11"/>
      <name val="宋体"/>
      <charset val="134"/>
    </font>
    <font>
      <sz val="9"/>
      <name val="SimSun"/>
      <charset val="134"/>
    </font>
    <font>
      <sz val="9"/>
      <name val="宋体"/>
      <charset val="134"/>
    </font>
    <font>
      <b/>
      <sz val="20"/>
      <name val="宋体"/>
      <charset val="134"/>
    </font>
    <font>
      <b/>
      <sz val="10"/>
      <name val="华文仿宋"/>
      <charset val="134"/>
    </font>
    <font>
      <sz val="10"/>
      <name val="华文仿宋"/>
      <charset val="134"/>
    </font>
    <font>
      <sz val="10"/>
      <name val="宋体"/>
      <charset val="134"/>
    </font>
    <font>
      <b/>
      <sz val="20"/>
      <color indexed="8"/>
      <name val="宋体"/>
      <charset val="134"/>
    </font>
    <font>
      <b/>
      <sz val="22"/>
      <color indexed="8"/>
      <name val="宋体"/>
      <charset val="134"/>
    </font>
    <font>
      <b/>
      <sz val="11"/>
      <color indexed="8"/>
      <name val="华文仿宋"/>
      <charset val="134"/>
    </font>
    <font>
      <b/>
      <sz val="11"/>
      <name val="华文仿宋"/>
      <charset val="134"/>
    </font>
    <font>
      <b/>
      <sz val="12"/>
      <name val="华文仿宋"/>
      <charset val="134"/>
    </font>
    <font>
      <b/>
      <sz val="14"/>
      <name val="华文仿宋"/>
      <charset val="134"/>
    </font>
    <font>
      <sz val="11"/>
      <name val="仿宋_GB2312"/>
      <charset val="0"/>
    </font>
    <font>
      <sz val="12"/>
      <name val="黑体"/>
      <charset val="134"/>
    </font>
    <font>
      <sz val="11"/>
      <color rgb="FFFF0000"/>
      <name val="华文仿宋"/>
      <charset val="134"/>
    </font>
    <font>
      <sz val="12"/>
      <color rgb="FFFF0000"/>
      <name val="宋体"/>
      <charset val="134"/>
    </font>
    <font>
      <b/>
      <sz val="12"/>
      <color indexed="8"/>
      <name val="华文仿宋"/>
      <charset val="134"/>
    </font>
    <font>
      <b/>
      <sz val="12"/>
      <color rgb="FFFF0000"/>
      <name val="华文仿宋"/>
      <charset val="134"/>
    </font>
    <font>
      <sz val="12"/>
      <color indexed="8"/>
      <name val="华文仿宋"/>
      <charset val="134"/>
    </font>
    <font>
      <sz val="12"/>
      <color rgb="FFFF0000"/>
      <name val="华文仿宋"/>
      <charset val="134"/>
    </font>
    <font>
      <b/>
      <sz val="14"/>
      <color indexed="8"/>
      <name val="宋体"/>
      <charset val="134"/>
      <scheme val="minor"/>
    </font>
    <font>
      <b/>
      <sz val="14"/>
      <color indexed="8"/>
      <name val="华文仿宋"/>
      <charset val="134"/>
    </font>
    <font>
      <sz val="10"/>
      <color indexed="8"/>
      <name val="宋体"/>
      <charset val="134"/>
    </font>
    <font>
      <b/>
      <sz val="10"/>
      <color indexed="8"/>
      <name val="宋体"/>
      <charset val="134"/>
    </font>
    <font>
      <b/>
      <sz val="20"/>
      <color indexed="8"/>
      <name val="宋体"/>
      <charset val="134"/>
      <scheme val="major"/>
    </font>
    <font>
      <sz val="9"/>
      <color indexed="8"/>
      <name val="宋体"/>
      <charset val="134"/>
    </font>
    <font>
      <sz val="12"/>
      <name val="Times New Roman"/>
      <charset val="1"/>
    </font>
    <font>
      <sz val="14"/>
      <name val="宋体"/>
      <charset val="134"/>
    </font>
    <font>
      <b/>
      <sz val="12"/>
      <name val="仿宋"/>
      <charset val="0"/>
    </font>
    <font>
      <sz val="12"/>
      <name val="仿宋"/>
      <charset val="0"/>
    </font>
    <font>
      <b/>
      <sz val="24"/>
      <color theme="1"/>
      <name val="宋体"/>
      <charset val="134"/>
    </font>
    <font>
      <b/>
      <sz val="14"/>
      <color theme="1"/>
      <name val="宋体"/>
      <charset val="134"/>
    </font>
    <font>
      <sz val="14"/>
      <name val="华文仿宋"/>
      <charset val="134"/>
    </font>
    <font>
      <sz val="14"/>
      <color theme="1"/>
      <name val="华文仿宋"/>
      <charset val="134"/>
    </font>
    <font>
      <b/>
      <sz val="14"/>
      <color theme="1"/>
      <name val="华文仿宋"/>
      <charset val="134"/>
    </font>
    <font>
      <sz val="10"/>
      <color indexed="8"/>
      <name val="华文仿宋"/>
      <charset val="134"/>
    </font>
    <font>
      <b/>
      <sz val="20"/>
      <color indexed="8"/>
      <name val="宋体"/>
      <charset val="134"/>
      <scheme val="minor"/>
    </font>
    <font>
      <sz val="9"/>
      <color indexed="8"/>
      <name val="华文仿宋"/>
      <charset val="134"/>
    </font>
    <font>
      <sz val="12"/>
      <color rgb="FF000000"/>
      <name val="华文仿宋"/>
      <charset val="134"/>
    </font>
    <font>
      <sz val="14"/>
      <name val="仿宋"/>
      <charset val="0"/>
    </font>
    <font>
      <sz val="11"/>
      <name val="仿宋"/>
      <charset val="0"/>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10"/>
      <color indexed="8"/>
      <name val="Arial"/>
      <charset val="0"/>
    </font>
  </fonts>
  <fills count="25">
    <fill>
      <patternFill patternType="none"/>
    </fill>
    <fill>
      <patternFill patternType="gray125"/>
    </fill>
    <fill>
      <patternFill patternType="solid">
        <fgColor rgb="FFFFFF00"/>
        <bgColor indexed="64"/>
      </patternFill>
    </fill>
    <fill>
      <patternFill patternType="solid">
        <fgColor theme="0" tint="-0.0999786370433668"/>
        <bgColor indexed="64"/>
      </patternFill>
    </fill>
    <fill>
      <patternFill patternType="solid">
        <fgColor rgb="FFFFC000"/>
        <bgColor indexed="64"/>
      </patternFill>
    </fill>
    <fill>
      <patternFill patternType="solid">
        <fgColor rgb="FFA9D08E"/>
        <bgColor indexed="64"/>
      </patternFill>
    </fill>
    <fill>
      <patternFill patternType="solid">
        <fgColor rgb="FF92D050"/>
        <bgColor indexed="64"/>
      </patternFill>
    </fill>
    <fill>
      <patternFill patternType="solid">
        <fgColor theme="9" tint="0.399975585192419"/>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6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0" fillId="8" borderId="8" applyNumberFormat="0" applyFont="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9" applyNumberFormat="0" applyFill="0" applyAlignment="0" applyProtection="0">
      <alignment vertical="center"/>
    </xf>
    <xf numFmtId="0" fontId="76" fillId="0" borderId="10" applyNumberFormat="0" applyFill="0" applyAlignment="0" applyProtection="0">
      <alignment vertical="center"/>
    </xf>
    <xf numFmtId="0" fontId="77" fillId="0" borderId="11" applyNumberFormat="0" applyFill="0" applyAlignment="0" applyProtection="0">
      <alignment vertical="center"/>
    </xf>
    <xf numFmtId="0" fontId="77" fillId="0" borderId="0" applyNumberFormat="0" applyFill="0" applyBorder="0" applyAlignment="0" applyProtection="0">
      <alignment vertical="center"/>
    </xf>
    <xf numFmtId="0" fontId="78" fillId="9" borderId="12" applyNumberFormat="0" applyAlignment="0" applyProtection="0">
      <alignment vertical="center"/>
    </xf>
    <xf numFmtId="0" fontId="79" fillId="10" borderId="13" applyNumberFormat="0" applyAlignment="0" applyProtection="0">
      <alignment vertical="center"/>
    </xf>
    <xf numFmtId="0" fontId="80" fillId="10" borderId="12" applyNumberFormat="0" applyAlignment="0" applyProtection="0">
      <alignment vertical="center"/>
    </xf>
    <xf numFmtId="0" fontId="81" fillId="11" borderId="14" applyNumberFormat="0" applyAlignment="0" applyProtection="0">
      <alignment vertical="center"/>
    </xf>
    <xf numFmtId="0" fontId="82" fillId="0" borderId="15" applyNumberFormat="0" applyFill="0" applyAlignment="0" applyProtection="0">
      <alignment vertical="center"/>
    </xf>
    <xf numFmtId="0" fontId="83" fillId="0" borderId="16" applyNumberFormat="0" applyFill="0" applyAlignment="0" applyProtection="0">
      <alignment vertical="center"/>
    </xf>
    <xf numFmtId="0" fontId="84" fillId="12" borderId="0" applyNumberFormat="0" applyBorder="0" applyAlignment="0" applyProtection="0">
      <alignment vertical="center"/>
    </xf>
    <xf numFmtId="0" fontId="85" fillId="13" borderId="0" applyNumberFormat="0" applyBorder="0" applyAlignment="0" applyProtection="0">
      <alignment vertical="center"/>
    </xf>
    <xf numFmtId="0" fontId="86" fillId="14" borderId="0" applyNumberFormat="0" applyBorder="0" applyAlignment="0" applyProtection="0">
      <alignment vertical="center"/>
    </xf>
    <xf numFmtId="0" fontId="87"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87" fillId="18" borderId="0" applyNumberFormat="0" applyBorder="0" applyAlignment="0" applyProtection="0">
      <alignment vertical="center"/>
    </xf>
    <xf numFmtId="0" fontId="87" fillId="19"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87" fillId="9" borderId="0" applyNumberFormat="0" applyBorder="0" applyAlignment="0" applyProtection="0">
      <alignment vertical="center"/>
    </xf>
    <xf numFmtId="0" fontId="87" fillId="11" borderId="0" applyNumberFormat="0" applyBorder="0" applyAlignment="0" applyProtection="0">
      <alignment vertical="center"/>
    </xf>
    <xf numFmtId="0" fontId="22" fillId="10" borderId="0" applyNumberFormat="0" applyBorder="0" applyAlignment="0" applyProtection="0">
      <alignment vertical="center"/>
    </xf>
    <xf numFmtId="0" fontId="22" fillId="20" borderId="0" applyNumberFormat="0" applyBorder="0" applyAlignment="0" applyProtection="0">
      <alignment vertical="center"/>
    </xf>
    <xf numFmtId="0" fontId="87" fillId="20" borderId="0" applyNumberFormat="0" applyBorder="0" applyAlignment="0" applyProtection="0">
      <alignment vertical="center"/>
    </xf>
    <xf numFmtId="0" fontId="87" fillId="21" borderId="0" applyNumberFormat="0" applyBorder="0" applyAlignment="0" applyProtection="0">
      <alignment vertical="center"/>
    </xf>
    <xf numFmtId="0" fontId="22" fillId="8" borderId="0" applyNumberFormat="0" applyBorder="0" applyAlignment="0" applyProtection="0">
      <alignment vertical="center"/>
    </xf>
    <xf numFmtId="0" fontId="22" fillId="14" borderId="0" applyNumberFormat="0" applyBorder="0" applyAlignment="0" applyProtection="0">
      <alignment vertical="center"/>
    </xf>
    <xf numFmtId="0" fontId="87" fillId="9" borderId="0" applyNumberFormat="0" applyBorder="0" applyAlignment="0" applyProtection="0">
      <alignment vertical="center"/>
    </xf>
    <xf numFmtId="0" fontId="87" fillId="2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87" fillId="23" borderId="0" applyNumberFormat="0" applyBorder="0" applyAlignment="0" applyProtection="0">
      <alignment vertical="center"/>
    </xf>
    <xf numFmtId="0" fontId="87" fillId="24" borderId="0" applyNumberFormat="0" applyBorder="0" applyAlignment="0" applyProtection="0">
      <alignment vertical="center"/>
    </xf>
    <xf numFmtId="0" fontId="22" fillId="12" borderId="0" applyNumberFormat="0" applyBorder="0" applyAlignment="0" applyProtection="0">
      <alignment vertical="center"/>
    </xf>
    <xf numFmtId="0" fontId="22" fillId="20" borderId="0" applyNumberFormat="0" applyBorder="0" applyAlignment="0" applyProtection="0">
      <alignment vertical="center"/>
    </xf>
    <xf numFmtId="0" fontId="87" fillId="20" borderId="0" applyNumberFormat="0" applyBorder="0" applyAlignment="0" applyProtection="0">
      <alignment vertical="center"/>
    </xf>
    <xf numFmtId="0" fontId="0" fillId="0" borderId="0">
      <alignment vertical="center"/>
    </xf>
    <xf numFmtId="0" fontId="22" fillId="0" borderId="0">
      <alignment vertical="center"/>
    </xf>
    <xf numFmtId="0" fontId="51" fillId="0" borderId="0"/>
    <xf numFmtId="0" fontId="0"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0" fillId="0" borderId="0"/>
    <xf numFmtId="0" fontId="11" fillId="0" borderId="0">
      <alignment vertical="center"/>
    </xf>
    <xf numFmtId="0" fontId="22" fillId="0" borderId="0">
      <alignment vertical="center"/>
    </xf>
    <xf numFmtId="0" fontId="11" fillId="0" borderId="0">
      <alignment vertical="center"/>
    </xf>
    <xf numFmtId="0" fontId="11" fillId="0" borderId="0">
      <alignment vertical="center"/>
    </xf>
    <xf numFmtId="0" fontId="88" fillId="0" borderId="0"/>
    <xf numFmtId="0" fontId="22" fillId="0" borderId="0">
      <alignment vertical="center"/>
    </xf>
    <xf numFmtId="0" fontId="22" fillId="0" borderId="0">
      <alignment vertical="center"/>
    </xf>
    <xf numFmtId="0" fontId="0" fillId="0" borderId="0"/>
    <xf numFmtId="0" fontId="19" fillId="0" borderId="0">
      <alignment vertical="center"/>
    </xf>
    <xf numFmtId="0" fontId="51" fillId="0" borderId="0"/>
    <xf numFmtId="0" fontId="89" fillId="0" borderId="0"/>
  </cellStyleXfs>
  <cellXfs count="568">
    <xf numFmtId="0" fontId="0" fillId="0" borderId="0" xfId="0"/>
    <xf numFmtId="0" fontId="1" fillId="0" borderId="0" xfId="52" applyFont="1" applyAlignment="1">
      <alignment horizontal="center" vertical="center" wrapText="1"/>
    </xf>
    <xf numFmtId="0" fontId="2" fillId="0" borderId="0" xfId="52" applyFont="1" applyAlignment="1">
      <alignment horizontal="center" vertical="center" wrapText="1"/>
    </xf>
    <xf numFmtId="0" fontId="3" fillId="0" borderId="0" xfId="52" applyFont="1" applyAlignment="1">
      <alignment horizontal="center" vertical="center" wrapText="1"/>
    </xf>
    <xf numFmtId="0" fontId="3" fillId="0" borderId="0" xfId="52" applyFont="1" applyAlignment="1">
      <alignment horizontal="left" vertical="center" wrapText="1"/>
    </xf>
    <xf numFmtId="176" fontId="3" fillId="0" borderId="0" xfId="52" applyNumberFormat="1" applyFont="1" applyAlignment="1">
      <alignment horizontal="center" vertical="center" wrapText="1"/>
    </xf>
    <xf numFmtId="0" fontId="4" fillId="0" borderId="0" xfId="52" applyFont="1" applyAlignment="1">
      <alignment horizontal="left" vertical="center" wrapText="1"/>
    </xf>
    <xf numFmtId="0" fontId="5" fillId="0" borderId="0" xfId="52" applyFont="1" applyAlignment="1">
      <alignment horizontal="center" vertical="center" wrapText="1"/>
    </xf>
    <xf numFmtId="0" fontId="6" fillId="0" borderId="0" xfId="52" applyFont="1" applyAlignment="1">
      <alignment horizontal="center" vertical="center" wrapText="1"/>
    </xf>
    <xf numFmtId="0" fontId="6" fillId="0" borderId="0" xfId="52" applyFont="1" applyAlignment="1">
      <alignment horizontal="left" vertical="center" wrapText="1"/>
    </xf>
    <xf numFmtId="176" fontId="6" fillId="0" borderId="0" xfId="52" applyNumberFormat="1" applyFont="1" applyAlignment="1">
      <alignment horizontal="center" vertical="center" wrapText="1"/>
    </xf>
    <xf numFmtId="0" fontId="7" fillId="0" borderId="0" xfId="52" applyFont="1" applyAlignment="1">
      <alignment horizontal="center" vertical="center" wrapText="1"/>
    </xf>
    <xf numFmtId="0" fontId="8" fillId="0" borderId="0" xfId="52" applyFont="1" applyAlignment="1">
      <alignment horizontal="center" vertical="center" wrapText="1"/>
    </xf>
    <xf numFmtId="0" fontId="8" fillId="0" borderId="0" xfId="52" applyFont="1" applyAlignment="1">
      <alignment horizontal="left" vertical="center" wrapText="1"/>
    </xf>
    <xf numFmtId="176" fontId="8" fillId="0" borderId="0" xfId="52" applyNumberFormat="1" applyFont="1" applyAlignment="1">
      <alignment horizontal="center" vertical="center" wrapText="1"/>
    </xf>
    <xf numFmtId="0" fontId="7" fillId="0" borderId="1" xfId="52" applyFont="1" applyBorder="1" applyAlignment="1" applyProtection="1">
      <alignment horizontal="center" vertical="center" wrapText="1" readingOrder="1"/>
      <protection locked="0"/>
    </xf>
    <xf numFmtId="176" fontId="7" fillId="0" borderId="1" xfId="52" applyNumberFormat="1" applyFont="1" applyBorder="1" applyAlignment="1" applyProtection="1">
      <alignment horizontal="center" vertical="center" wrapText="1"/>
      <protection locked="0"/>
    </xf>
    <xf numFmtId="176" fontId="7" fillId="0" borderId="1" xfId="52" applyNumberFormat="1" applyFont="1" applyBorder="1" applyAlignment="1" applyProtection="1">
      <alignment horizontal="center" vertical="center" wrapText="1" readingOrder="1"/>
      <protection locked="0"/>
    </xf>
    <xf numFmtId="0" fontId="9" fillId="0" borderId="1" xfId="52" applyFont="1" applyBorder="1" applyAlignment="1" applyProtection="1">
      <alignment horizontal="center" vertical="center" wrapText="1"/>
      <protection locked="0"/>
    </xf>
    <xf numFmtId="0" fontId="10" fillId="0" borderId="1" xfId="52" applyFont="1" applyBorder="1" applyAlignment="1" applyProtection="1">
      <alignment horizontal="center" vertical="center" wrapText="1"/>
      <protection locked="0"/>
    </xf>
    <xf numFmtId="0" fontId="10" fillId="0" borderId="1" xfId="52" applyFont="1" applyBorder="1" applyAlignment="1" applyProtection="1">
      <alignment horizontal="left" vertical="center" wrapText="1"/>
      <protection locked="0"/>
    </xf>
    <xf numFmtId="176" fontId="10" fillId="0" borderId="1" xfId="52" applyNumberFormat="1" applyFont="1" applyBorder="1" applyAlignment="1" applyProtection="1">
      <alignment horizontal="center" vertical="center" wrapText="1"/>
      <protection locked="0"/>
    </xf>
    <xf numFmtId="176" fontId="10" fillId="0" borderId="1" xfId="52" applyNumberFormat="1" applyFont="1" applyBorder="1" applyAlignment="1">
      <alignment horizontal="center" vertical="center" wrapText="1"/>
    </xf>
    <xf numFmtId="0" fontId="10" fillId="0" borderId="1" xfId="52" applyFont="1" applyBorder="1" applyAlignment="1">
      <alignment horizontal="center" vertical="center" wrapText="1"/>
    </xf>
    <xf numFmtId="176" fontId="10" fillId="0" borderId="1" xfId="52" applyNumberFormat="1" applyFont="1" applyBorder="1" applyAlignment="1" applyProtection="1">
      <alignment horizontal="left" vertical="center" wrapText="1"/>
      <protection locked="0"/>
    </xf>
    <xf numFmtId="0" fontId="10" fillId="0" borderId="1" xfId="52" applyNumberFormat="1" applyFont="1" applyBorder="1" applyAlignment="1" applyProtection="1">
      <alignment horizontal="left" vertical="center" wrapText="1"/>
      <protection locked="0"/>
    </xf>
    <xf numFmtId="176" fontId="10" fillId="0" borderId="1" xfId="52" applyNumberFormat="1" applyFont="1" applyBorder="1" applyAlignment="1" applyProtection="1">
      <alignment horizontal="center" vertical="top" wrapText="1"/>
      <protection locked="0"/>
    </xf>
    <xf numFmtId="0" fontId="10" fillId="0" borderId="1" xfId="52" applyFont="1" applyBorder="1" applyAlignment="1">
      <alignment horizontal="left" vertical="center" wrapText="1"/>
    </xf>
    <xf numFmtId="0" fontId="10" fillId="0" borderId="1" xfId="52" applyNumberFormat="1" applyFont="1" applyBorder="1" applyAlignment="1" applyProtection="1">
      <alignment horizontal="center" vertical="center" wrapText="1"/>
      <protection locked="0"/>
    </xf>
    <xf numFmtId="0" fontId="11" fillId="0" borderId="0" xfId="60">
      <alignment vertical="center"/>
    </xf>
    <xf numFmtId="0" fontId="12" fillId="0" borderId="0" xfId="60" applyFont="1">
      <alignment vertical="center"/>
    </xf>
    <xf numFmtId="0" fontId="13" fillId="0" borderId="0" xfId="60" applyFont="1" applyAlignment="1">
      <alignment horizontal="center" vertical="center"/>
    </xf>
    <xf numFmtId="0" fontId="12" fillId="0" borderId="0" xfId="60" applyFont="1" applyAlignment="1">
      <alignment horizontal="right" vertical="center"/>
    </xf>
    <xf numFmtId="0" fontId="14" fillId="0" borderId="1" xfId="60" applyFont="1" applyBorder="1" applyAlignment="1">
      <alignment horizontal="center" vertical="center"/>
    </xf>
    <xf numFmtId="0" fontId="14" fillId="0" borderId="1" xfId="60" applyFont="1" applyBorder="1" applyAlignment="1">
      <alignment horizontal="center" vertical="center" wrapText="1"/>
    </xf>
    <xf numFmtId="0" fontId="14" fillId="0" borderId="1" xfId="60" applyFont="1" applyBorder="1">
      <alignment vertical="center"/>
    </xf>
    <xf numFmtId="177" fontId="15" fillId="0" borderId="1" xfId="60" applyNumberFormat="1" applyFont="1" applyBorder="1">
      <alignment vertical="center"/>
    </xf>
    <xf numFmtId="0" fontId="15" fillId="0" borderId="1" xfId="60" applyFont="1" applyBorder="1">
      <alignment vertical="center"/>
    </xf>
    <xf numFmtId="0" fontId="15" fillId="0" borderId="1" xfId="60" applyFont="1" applyBorder="1" applyAlignment="1">
      <alignment vertical="center" wrapText="1"/>
    </xf>
    <xf numFmtId="0" fontId="4" fillId="0" borderId="0" xfId="0" applyFont="1"/>
    <xf numFmtId="0" fontId="16" fillId="0" borderId="0" xfId="0" applyFont="1"/>
    <xf numFmtId="0" fontId="17" fillId="0" borderId="0" xfId="0" applyFont="1" applyAlignment="1">
      <alignment horizontal="center" vertical="center"/>
    </xf>
    <xf numFmtId="0" fontId="16" fillId="0" borderId="0" xfId="0" applyFont="1" applyAlignment="1">
      <alignment horizontal="right"/>
    </xf>
    <xf numFmtId="0" fontId="16" fillId="0" borderId="1" xfId="0" applyFont="1" applyBorder="1"/>
    <xf numFmtId="0" fontId="18" fillId="0" borderId="1" xfId="60" applyFont="1" applyBorder="1" applyAlignment="1">
      <alignment horizontal="center" vertical="center"/>
    </xf>
    <xf numFmtId="0" fontId="18" fillId="0" borderId="1" xfId="60" applyFont="1" applyBorder="1" applyAlignment="1">
      <alignment horizontal="left" vertical="center"/>
    </xf>
    <xf numFmtId="177" fontId="10" fillId="0" borderId="1" xfId="60" applyNumberFormat="1" applyFont="1" applyBorder="1">
      <alignment vertical="center"/>
    </xf>
    <xf numFmtId="0" fontId="19" fillId="0" borderId="0" xfId="66" applyFont="1" applyFill="1" applyBorder="1" applyAlignment="1">
      <alignment vertical="center"/>
    </xf>
    <xf numFmtId="0" fontId="20" fillId="0" borderId="0" xfId="66" applyFont="1" applyFill="1" applyBorder="1" applyAlignment="1">
      <alignment vertical="center"/>
    </xf>
    <xf numFmtId="0" fontId="21" fillId="0" borderId="0" xfId="50" applyFont="1" applyFill="1" applyAlignment="1">
      <alignment horizontal="center" vertical="center"/>
    </xf>
    <xf numFmtId="0" fontId="22" fillId="0" borderId="0" xfId="50" applyFont="1" applyFill="1" applyBorder="1" applyAlignment="1">
      <alignment vertical="center"/>
    </xf>
    <xf numFmtId="0" fontId="21" fillId="0" borderId="0" xfId="50" applyFont="1" applyFill="1" applyAlignment="1">
      <alignment horizontal="center" vertical="center" wrapText="1"/>
    </xf>
    <xf numFmtId="0" fontId="21" fillId="0" borderId="0" xfId="50" applyFont="1" applyFill="1" applyAlignment="1">
      <alignment vertical="center" wrapText="1"/>
    </xf>
    <xf numFmtId="0" fontId="23" fillId="0" borderId="0" xfId="50" applyFont="1" applyFill="1" applyAlignment="1">
      <alignment horizontal="right"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43" fontId="22" fillId="0" borderId="1" xfId="1" applyNumberFormat="1" applyFont="1" applyFill="1" applyBorder="1" applyAlignment="1">
      <alignment vertical="center"/>
    </xf>
    <xf numFmtId="0" fontId="25" fillId="0" borderId="0"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43" fontId="28" fillId="0" borderId="1" xfId="1" applyNumberFormat="1" applyFont="1" applyBorder="1" applyAlignment="1">
      <alignment vertical="center" wrapText="1"/>
    </xf>
    <xf numFmtId="0" fontId="28" fillId="0" borderId="1" xfId="0" applyFont="1" applyFill="1" applyBorder="1" applyAlignment="1">
      <alignment horizontal="left" vertical="center" wrapText="1"/>
    </xf>
    <xf numFmtId="43" fontId="28" fillId="0" borderId="1" xfId="1" applyNumberFormat="1" applyFont="1" applyBorder="1" applyAlignment="1">
      <alignment horizontal="right" vertical="center" wrapText="1"/>
    </xf>
    <xf numFmtId="43" fontId="28" fillId="0" borderId="1" xfId="1" applyNumberFormat="1" applyFont="1" applyFill="1" applyBorder="1" applyAlignment="1">
      <alignment horizontal="right" vertical="center" wrapText="1"/>
    </xf>
    <xf numFmtId="0" fontId="22" fillId="0" borderId="0" xfId="53" applyFont="1" applyFill="1" applyBorder="1" applyAlignment="1">
      <alignment vertical="center"/>
    </xf>
    <xf numFmtId="0" fontId="20" fillId="0" borderId="0" xfId="53" applyFont="1" applyFill="1" applyBorder="1" applyAlignment="1">
      <alignment vertical="center"/>
    </xf>
    <xf numFmtId="0" fontId="29" fillId="0" borderId="0" xfId="0" applyFont="1" applyFill="1" applyBorder="1" applyAlignment="1">
      <alignment vertical="center" wrapText="1"/>
    </xf>
    <xf numFmtId="43" fontId="28" fillId="0" borderId="1" xfId="1" applyNumberFormat="1" applyFont="1" applyBorder="1" applyAlignment="1">
      <alignment horizontal="center" vertical="center" wrapText="1"/>
    </xf>
    <xf numFmtId="0" fontId="30" fillId="0" borderId="0" xfId="0" applyFont="1" applyFill="1" applyBorder="1" applyAlignment="1">
      <alignment vertical="center" wrapText="1"/>
    </xf>
    <xf numFmtId="0" fontId="0" fillId="0" borderId="0" xfId="0" applyFont="1" applyFill="1" applyBorder="1" applyAlignment="1">
      <alignment vertical="center"/>
    </xf>
    <xf numFmtId="0" fontId="0" fillId="0" borderId="3" xfId="0" applyFont="1" applyFill="1" applyBorder="1" applyAlignment="1">
      <alignment horizontal="right" vertical="center" wrapText="1"/>
    </xf>
    <xf numFmtId="0" fontId="26" fillId="0" borderId="4" xfId="0" applyFont="1" applyFill="1" applyBorder="1" applyAlignment="1">
      <alignment horizontal="center" vertical="center"/>
    </xf>
    <xf numFmtId="0" fontId="26" fillId="0" borderId="2" xfId="0" applyFont="1" applyFill="1" applyBorder="1" applyAlignment="1">
      <alignment horizontal="center" vertical="center"/>
    </xf>
    <xf numFmtId="0" fontId="28" fillId="0" borderId="1" xfId="0" applyFont="1" applyFill="1" applyBorder="1" applyAlignment="1">
      <alignment vertical="center" wrapText="1"/>
    </xf>
    <xf numFmtId="0" fontId="0" fillId="0" borderId="0" xfId="0" applyAlignment="1">
      <alignment wrapText="1"/>
    </xf>
    <xf numFmtId="0" fontId="16" fillId="0" borderId="0" xfId="55" applyFont="1" applyFill="1" applyBorder="1" applyAlignment="1">
      <alignment vertical="center"/>
    </xf>
    <xf numFmtId="178" fontId="0" fillId="0" borderId="0" xfId="55" applyNumberFormat="1" applyFill="1" applyBorder="1" applyAlignment="1"/>
    <xf numFmtId="0" fontId="0" fillId="0" borderId="0" xfId="55" applyFill="1" applyBorder="1" applyAlignment="1"/>
    <xf numFmtId="178" fontId="0" fillId="0" borderId="0" xfId="55" applyNumberFormat="1" applyFill="1" applyBorder="1" applyAlignment="1">
      <alignment horizontal="center" vertical="center"/>
    </xf>
    <xf numFmtId="0" fontId="31" fillId="0" borderId="0" xfId="55" applyFont="1" applyFill="1" applyBorder="1" applyAlignment="1">
      <alignment horizontal="center" vertical="center"/>
    </xf>
    <xf numFmtId="0" fontId="0" fillId="0" borderId="0" xfId="55" applyFill="1" applyBorder="1" applyAlignment="1">
      <alignment horizontal="left" vertical="center"/>
    </xf>
    <xf numFmtId="0" fontId="0" fillId="0" borderId="0" xfId="55" applyFill="1" applyBorder="1" applyAlignment="1">
      <alignment horizontal="center" vertical="center"/>
    </xf>
    <xf numFmtId="178" fontId="16" fillId="0" borderId="0" xfId="55" applyNumberFormat="1" applyFont="1" applyFill="1" applyBorder="1" applyAlignment="1">
      <alignment horizontal="right" vertical="center"/>
    </xf>
    <xf numFmtId="0" fontId="32" fillId="0" borderId="1" xfId="55" applyFont="1" applyFill="1" applyBorder="1" applyAlignment="1">
      <alignment horizontal="center" vertical="center"/>
    </xf>
    <xf numFmtId="0" fontId="32" fillId="0" borderId="1" xfId="55" applyFont="1" applyFill="1" applyBorder="1" applyAlignment="1">
      <alignment horizontal="center" vertical="center" wrapText="1"/>
    </xf>
    <xf numFmtId="178" fontId="32" fillId="0" borderId="1" xfId="55" applyNumberFormat="1" applyFont="1" applyFill="1" applyBorder="1" applyAlignment="1">
      <alignment horizontal="center" vertical="center" wrapText="1"/>
    </xf>
    <xf numFmtId="0" fontId="32" fillId="0" borderId="1" xfId="55" applyFont="1" applyFill="1" applyBorder="1" applyAlignment="1">
      <alignment vertical="center" wrapText="1"/>
    </xf>
    <xf numFmtId="178" fontId="32" fillId="0" borderId="1" xfId="55" applyNumberFormat="1" applyFont="1" applyFill="1" applyBorder="1" applyAlignment="1">
      <alignment vertical="center" wrapText="1"/>
    </xf>
    <xf numFmtId="178" fontId="32" fillId="0" borderId="1" xfId="55" applyNumberFormat="1" applyFont="1" applyFill="1" applyBorder="1" applyAlignment="1">
      <alignment horizontal="right" vertical="center" wrapText="1"/>
    </xf>
    <xf numFmtId="0" fontId="33" fillId="0" borderId="1" xfId="55" applyFont="1" applyFill="1" applyBorder="1" applyAlignment="1">
      <alignment vertical="center" wrapText="1"/>
    </xf>
    <xf numFmtId="178" fontId="33" fillId="0" borderId="1" xfId="55" applyNumberFormat="1" applyFont="1" applyFill="1" applyBorder="1" applyAlignment="1">
      <alignment vertical="center" wrapText="1"/>
    </xf>
    <xf numFmtId="178" fontId="33" fillId="0" borderId="1" xfId="55" applyNumberFormat="1" applyFont="1" applyFill="1" applyBorder="1" applyAlignment="1">
      <alignment horizontal="right" vertical="center" wrapText="1"/>
    </xf>
    <xf numFmtId="0" fontId="34" fillId="0" borderId="1" xfId="0" applyFont="1" applyBorder="1"/>
    <xf numFmtId="0" fontId="34" fillId="0" borderId="1" xfId="55" applyFont="1" applyFill="1" applyBorder="1" applyAlignment="1"/>
    <xf numFmtId="178" fontId="34" fillId="0" borderId="1" xfId="55" applyNumberFormat="1" applyFont="1" applyFill="1" applyBorder="1" applyAlignment="1"/>
    <xf numFmtId="0" fontId="22" fillId="0" borderId="0" xfId="63" applyFill="1">
      <alignment vertical="center"/>
    </xf>
    <xf numFmtId="0" fontId="35" fillId="0" borderId="0" xfId="63" applyFont="1" applyFill="1" applyAlignment="1">
      <alignment horizontal="center" vertical="center"/>
    </xf>
    <xf numFmtId="0" fontId="36" fillId="0" borderId="0" xfId="63" applyFont="1" applyFill="1" applyAlignment="1">
      <alignment horizontal="center" vertical="center"/>
    </xf>
    <xf numFmtId="0" fontId="22" fillId="0" borderId="0" xfId="63" applyFont="1" applyFill="1" applyAlignment="1">
      <alignment horizontal="right" vertical="center"/>
    </xf>
    <xf numFmtId="0" fontId="37" fillId="0" borderId="1" xfId="57" applyFont="1" applyFill="1" applyBorder="1" applyAlignment="1">
      <alignment horizontal="center" vertical="center"/>
    </xf>
    <xf numFmtId="0" fontId="38" fillId="0" borderId="1" xfId="57" applyFont="1" applyFill="1" applyBorder="1" applyAlignment="1">
      <alignment horizontal="center" vertical="center" wrapText="1"/>
    </xf>
    <xf numFmtId="179" fontId="38" fillId="0" borderId="1" xfId="57" applyNumberFormat="1" applyFont="1" applyFill="1" applyBorder="1" applyAlignment="1">
      <alignment horizontal="center" vertical="center" wrapText="1"/>
    </xf>
    <xf numFmtId="0" fontId="16" fillId="0" borderId="1" xfId="0" applyFont="1" applyBorder="1" applyAlignment="1">
      <alignment horizontal="center" vertical="center"/>
    </xf>
    <xf numFmtId="176" fontId="16" fillId="0" borderId="1" xfId="0" applyNumberFormat="1" applyFont="1" applyBorder="1" applyAlignment="1">
      <alignment horizontal="center" vertical="center"/>
    </xf>
    <xf numFmtId="0" fontId="0" fillId="0" borderId="0" xfId="0" applyFill="1"/>
    <xf numFmtId="0" fontId="16" fillId="0" borderId="0" xfId="0" applyFont="1" applyFill="1" applyBorder="1" applyAlignment="1">
      <alignment vertical="center"/>
    </xf>
    <xf numFmtId="0" fontId="13" fillId="0" borderId="0" xfId="0" applyFont="1" applyFill="1" applyAlignment="1">
      <alignment horizontal="center" vertical="center"/>
    </xf>
    <xf numFmtId="0" fontId="0" fillId="0" borderId="0" xfId="0" applyFill="1" applyAlignment="1">
      <alignment vertical="center"/>
    </xf>
    <xf numFmtId="180" fontId="16" fillId="0" borderId="0" xfId="56" applyNumberFormat="1" applyFont="1" applyFill="1" applyBorder="1" applyAlignment="1">
      <alignment horizontal="center" vertical="center" wrapText="1"/>
    </xf>
    <xf numFmtId="49" fontId="39" fillId="0" borderId="1" xfId="56" applyNumberFormat="1" applyFont="1" applyFill="1" applyBorder="1" applyAlignment="1">
      <alignment horizontal="center" vertical="center" wrapText="1"/>
    </xf>
    <xf numFmtId="180" fontId="39" fillId="0" borderId="1" xfId="56" applyNumberFormat="1" applyFont="1" applyFill="1" applyBorder="1" applyAlignment="1">
      <alignment horizontal="center" vertical="center" wrapText="1"/>
    </xf>
    <xf numFmtId="177" fontId="39" fillId="0" borderId="1" xfId="56" applyNumberFormat="1" applyFont="1" applyFill="1" applyBorder="1" applyAlignment="1">
      <alignment horizontal="center" vertical="center" wrapText="1"/>
    </xf>
    <xf numFmtId="0" fontId="39" fillId="0" borderId="1" xfId="56" applyFont="1" applyFill="1" applyBorder="1" applyAlignment="1">
      <alignment horizontal="center" vertical="center" wrapText="1"/>
    </xf>
    <xf numFmtId="49" fontId="39" fillId="0" borderId="5" xfId="56" applyNumberFormat="1" applyFont="1" applyFill="1" applyBorder="1" applyAlignment="1">
      <alignment horizontal="center" vertical="center" wrapText="1"/>
    </xf>
    <xf numFmtId="49" fontId="39" fillId="0" borderId="6" xfId="56" applyNumberFormat="1" applyFont="1" applyFill="1" applyBorder="1" applyAlignment="1">
      <alignment horizontal="center" vertical="center" wrapText="1"/>
    </xf>
    <xf numFmtId="177" fontId="39" fillId="0" borderId="1" xfId="56" applyNumberFormat="1" applyFont="1" applyFill="1" applyBorder="1" applyAlignment="1">
      <alignment horizontal="right" vertical="center"/>
    </xf>
    <xf numFmtId="0" fontId="16" fillId="0" borderId="1" xfId="56" applyFont="1" applyFill="1" applyBorder="1" applyAlignment="1">
      <alignment horizontal="center" vertical="center" wrapText="1"/>
    </xf>
    <xf numFmtId="180" fontId="16" fillId="0" borderId="1" xfId="56" applyNumberFormat="1" applyFont="1" applyFill="1" applyBorder="1" applyAlignment="1">
      <alignment horizontal="center" vertical="center" wrapText="1"/>
    </xf>
    <xf numFmtId="177" fontId="16" fillId="0" borderId="1" xfId="56" applyNumberFormat="1" applyFont="1" applyFill="1" applyBorder="1" applyAlignment="1">
      <alignment horizontal="right" vertical="center"/>
    </xf>
    <xf numFmtId="0" fontId="16" fillId="0" borderId="4" xfId="56" applyFont="1" applyFill="1" applyBorder="1" applyAlignment="1">
      <alignment horizontal="center" vertical="center" wrapText="1"/>
    </xf>
    <xf numFmtId="177" fontId="16" fillId="0" borderId="5" xfId="56" applyNumberFormat="1" applyFont="1" applyFill="1" applyBorder="1" applyAlignment="1">
      <alignment horizontal="right" vertical="center"/>
    </xf>
    <xf numFmtId="0" fontId="16" fillId="0" borderId="0" xfId="56" applyFont="1" applyFill="1" applyBorder="1" applyAlignment="1">
      <alignment horizontal="center" vertical="center" wrapText="1"/>
    </xf>
    <xf numFmtId="0" fontId="39" fillId="0" borderId="2" xfId="56" applyFont="1" applyFill="1" applyBorder="1" applyAlignment="1">
      <alignment horizontal="center" vertical="center" wrapText="1"/>
    </xf>
    <xf numFmtId="177" fontId="16" fillId="0" borderId="1" xfId="56" applyNumberFormat="1" applyFont="1" applyFill="1" applyBorder="1" applyAlignment="1">
      <alignment horizontal="center" vertical="center" wrapText="1"/>
    </xf>
    <xf numFmtId="0" fontId="0" fillId="0" borderId="0" xfId="0" applyFont="1" applyFill="1" applyAlignment="1">
      <alignment vertical="center"/>
    </xf>
    <xf numFmtId="0" fontId="0" fillId="0" borderId="0" xfId="0" applyFont="1" applyBorder="1"/>
    <xf numFmtId="0" fontId="16" fillId="0" borderId="0" xfId="0" applyFont="1" applyBorder="1" applyAlignment="1">
      <alignment vertical="center"/>
    </xf>
    <xf numFmtId="0" fontId="31" fillId="0" borderId="0" xfId="0" applyFont="1" applyFill="1" applyBorder="1" applyAlignment="1">
      <alignment horizontal="center" vertical="center" wrapText="1"/>
    </xf>
    <xf numFmtId="0" fontId="16" fillId="0" borderId="0" xfId="0" applyFont="1" applyBorder="1" applyAlignment="1">
      <alignment horizontal="justify" vertical="center" wrapText="1"/>
    </xf>
    <xf numFmtId="0" fontId="16" fillId="0" borderId="0" xfId="0" applyFont="1" applyBorder="1" applyAlignment="1">
      <alignment horizontal="right" vertical="center" wrapText="1"/>
    </xf>
    <xf numFmtId="0" fontId="40" fillId="0" borderId="1" xfId="0" applyFont="1" applyFill="1" applyBorder="1" applyAlignment="1">
      <alignment horizontal="center" vertical="center"/>
    </xf>
    <xf numFmtId="0" fontId="38" fillId="0" borderId="1" xfId="0" applyFont="1" applyFill="1" applyBorder="1" applyAlignment="1">
      <alignment horizontal="center" vertical="center"/>
    </xf>
    <xf numFmtId="0" fontId="16" fillId="0" borderId="1" xfId="0" applyFont="1" applyBorder="1" applyAlignment="1">
      <alignment horizontal="left" vertical="center" wrapText="1"/>
    </xf>
    <xf numFmtId="178" fontId="16" fillId="0" borderId="1" xfId="52" applyNumberFormat="1" applyFont="1" applyFill="1" applyBorder="1" applyAlignment="1">
      <alignment vertical="center" wrapText="1"/>
    </xf>
    <xf numFmtId="0" fontId="16" fillId="0" borderId="1" xfId="0" applyFont="1" applyBorder="1" applyAlignment="1">
      <alignment horizontal="justify" vertical="center" wrapText="1"/>
    </xf>
    <xf numFmtId="181" fontId="16" fillId="0" borderId="1" xfId="0" applyNumberFormat="1" applyFont="1" applyBorder="1" applyAlignment="1">
      <alignment horizontal="right" vertical="center"/>
    </xf>
    <xf numFmtId="0" fontId="16" fillId="0" borderId="1" xfId="0" applyFont="1" applyBorder="1" applyAlignment="1">
      <alignment vertical="center" wrapText="1"/>
    </xf>
    <xf numFmtId="0" fontId="41" fillId="0" borderId="1" xfId="0" applyFont="1" applyBorder="1" applyAlignment="1">
      <alignment vertical="center"/>
    </xf>
    <xf numFmtId="181" fontId="41" fillId="0" borderId="1" xfId="0" applyNumberFormat="1" applyFont="1" applyBorder="1" applyAlignment="1">
      <alignment horizontal="center" vertical="center"/>
    </xf>
    <xf numFmtId="0" fontId="39" fillId="0" borderId="1" xfId="0" applyFont="1" applyFill="1" applyBorder="1" applyAlignment="1">
      <alignment horizontal="center" vertical="center"/>
    </xf>
    <xf numFmtId="181" fontId="39" fillId="0" borderId="1" xfId="0" applyNumberFormat="1" applyFont="1" applyFill="1" applyBorder="1" applyAlignment="1">
      <alignment horizontal="right" vertical="center"/>
    </xf>
    <xf numFmtId="0" fontId="0" fillId="0" borderId="0" xfId="0" applyFont="1" applyFill="1" applyBorder="1" applyAlignment="1">
      <alignment horizontal="left" vertical="center"/>
    </xf>
    <xf numFmtId="0" fontId="0" fillId="0" borderId="0" xfId="0" applyFont="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Border="1" applyAlignment="1">
      <alignment horizontal="center" vertical="center" wrapText="1"/>
    </xf>
    <xf numFmtId="0" fontId="26" fillId="0" borderId="0" xfId="54" applyFont="1" applyFill="1" applyAlignment="1">
      <alignment vertical="center"/>
    </xf>
    <xf numFmtId="0" fontId="0" fillId="0" borderId="0" xfId="54" applyFont="1" applyFill="1" applyAlignment="1">
      <alignment vertical="center"/>
    </xf>
    <xf numFmtId="0" fontId="16" fillId="0" borderId="0" xfId="54" applyFont="1" applyFill="1" applyAlignment="1">
      <alignment vertical="center"/>
    </xf>
    <xf numFmtId="0" fontId="31" fillId="0" borderId="0" xfId="54" applyFont="1" applyFill="1" applyAlignment="1">
      <alignment horizontal="center" vertical="center"/>
    </xf>
    <xf numFmtId="0" fontId="42" fillId="0" borderId="0" xfId="54" applyFont="1" applyFill="1" applyAlignment="1">
      <alignment vertical="center"/>
    </xf>
    <xf numFmtId="0" fontId="16" fillId="0" borderId="0" xfId="54" applyFont="1" applyFill="1" applyAlignment="1">
      <alignment horizontal="right" vertical="center"/>
    </xf>
    <xf numFmtId="0" fontId="40" fillId="0" borderId="1" xfId="54" applyFont="1" applyFill="1" applyBorder="1" applyAlignment="1">
      <alignment horizontal="center" vertical="center"/>
    </xf>
    <xf numFmtId="0" fontId="40" fillId="0" borderId="7" xfId="54" applyFont="1" applyFill="1" applyBorder="1" applyAlignment="1">
      <alignment horizontal="center" vertical="center"/>
    </xf>
    <xf numFmtId="0" fontId="39" fillId="0" borderId="1" xfId="54" applyFont="1" applyFill="1" applyBorder="1" applyAlignment="1">
      <alignment horizontal="center" vertical="center"/>
    </xf>
    <xf numFmtId="0" fontId="39" fillId="0" borderId="1" xfId="54" applyFont="1" applyBorder="1" applyAlignment="1">
      <alignment horizontal="center" vertical="center" wrapText="1"/>
    </xf>
    <xf numFmtId="0" fontId="39" fillId="0" borderId="1" xfId="54" applyFont="1" applyFill="1" applyBorder="1" applyAlignment="1">
      <alignment horizontal="center" vertical="center" wrapText="1"/>
    </xf>
    <xf numFmtId="3" fontId="4" fillId="0" borderId="1" xfId="54" applyNumberFormat="1" applyFont="1" applyFill="1" applyBorder="1" applyAlignment="1" applyProtection="1">
      <alignment vertical="center" wrapText="1"/>
    </xf>
    <xf numFmtId="178" fontId="4" fillId="0" borderId="1" xfId="54" applyNumberFormat="1" applyFont="1" applyFill="1" applyBorder="1" applyAlignment="1">
      <alignment vertical="center"/>
    </xf>
    <xf numFmtId="178" fontId="33" fillId="0" borderId="1" xfId="54" applyNumberFormat="1" applyFont="1" applyFill="1" applyBorder="1" applyAlignment="1">
      <alignment vertical="center" wrapText="1"/>
    </xf>
    <xf numFmtId="178" fontId="38" fillId="0" borderId="1" xfId="54" applyNumberFormat="1" applyFont="1" applyFill="1" applyBorder="1" applyAlignment="1">
      <alignment vertical="center"/>
    </xf>
    <xf numFmtId="3" fontId="38" fillId="0" borderId="1" xfId="54" applyNumberFormat="1" applyFont="1" applyFill="1" applyBorder="1" applyAlignment="1" applyProtection="1">
      <alignment vertical="center" wrapText="1"/>
    </xf>
    <xf numFmtId="178" fontId="4" fillId="0" borderId="0" xfId="54" applyNumberFormat="1" applyFont="1" applyFill="1" applyBorder="1" applyAlignment="1">
      <alignment vertical="center"/>
    </xf>
    <xf numFmtId="178" fontId="4" fillId="0" borderId="1" xfId="54" applyNumberFormat="1" applyFont="1" applyFill="1" applyBorder="1" applyAlignment="1">
      <alignment vertical="center" wrapText="1"/>
    </xf>
    <xf numFmtId="0" fontId="10" fillId="0" borderId="1" xfId="0" applyFont="1" applyFill="1" applyBorder="1" applyAlignment="1">
      <alignment vertical="center" wrapText="1"/>
    </xf>
    <xf numFmtId="178" fontId="43" fillId="0" borderId="1" xfId="54" applyNumberFormat="1" applyFont="1" applyFill="1" applyBorder="1" applyAlignment="1">
      <alignment vertical="center"/>
    </xf>
    <xf numFmtId="3" fontId="4" fillId="0" borderId="1" xfId="54" applyNumberFormat="1" applyFont="1" applyFill="1" applyBorder="1" applyAlignment="1" applyProtection="1">
      <alignment vertical="center"/>
    </xf>
    <xf numFmtId="178" fontId="38" fillId="0" borderId="1" xfId="55" applyNumberFormat="1" applyFont="1" applyFill="1" applyBorder="1" applyAlignment="1">
      <alignment vertical="center"/>
    </xf>
    <xf numFmtId="178" fontId="10" fillId="0" borderId="1" xfId="0" applyNumberFormat="1" applyFont="1" applyFill="1" applyBorder="1" applyAlignment="1">
      <alignment vertical="center" wrapText="1"/>
    </xf>
    <xf numFmtId="178" fontId="4" fillId="0" borderId="1" xfId="55" applyNumberFormat="1" applyFont="1" applyFill="1" applyBorder="1" applyAlignment="1">
      <alignment vertical="center"/>
    </xf>
    <xf numFmtId="0" fontId="38" fillId="0" borderId="1" xfId="54" applyFont="1" applyFill="1" applyBorder="1" applyAlignment="1">
      <alignment horizontal="left" vertical="center" wrapText="1"/>
    </xf>
    <xf numFmtId="0" fontId="4" fillId="0" borderId="1" xfId="54" applyFont="1" applyFill="1" applyBorder="1" applyAlignment="1">
      <alignment horizontal="left" vertical="center" wrapText="1"/>
    </xf>
    <xf numFmtId="0" fontId="38" fillId="0" borderId="1" xfId="54" applyFont="1" applyFill="1" applyBorder="1" applyAlignment="1">
      <alignment horizontal="center" vertical="center"/>
    </xf>
    <xf numFmtId="0" fontId="38" fillId="0" borderId="1" xfId="54" applyFont="1" applyFill="1" applyBorder="1" applyAlignment="1">
      <alignment horizontal="center" vertical="center" wrapText="1"/>
    </xf>
    <xf numFmtId="0" fontId="38" fillId="0" borderId="1" xfId="54" applyFont="1" applyFill="1" applyBorder="1" applyAlignment="1">
      <alignment vertical="center"/>
    </xf>
    <xf numFmtId="0" fontId="38" fillId="0" borderId="1" xfId="54" applyFont="1" applyFill="1" applyBorder="1" applyAlignment="1">
      <alignment vertical="center" wrapText="1"/>
    </xf>
    <xf numFmtId="178" fontId="38" fillId="0" borderId="1" xfId="54" applyNumberFormat="1" applyFont="1" applyFill="1" applyBorder="1" applyAlignment="1">
      <alignment horizontal="right" vertical="center"/>
    </xf>
    <xf numFmtId="0" fontId="4" fillId="0" borderId="1" xfId="54" applyFont="1" applyFill="1" applyBorder="1" applyAlignment="1">
      <alignment vertical="center"/>
    </xf>
    <xf numFmtId="178" fontId="16" fillId="0" borderId="1" xfId="0" applyNumberFormat="1" applyFont="1" applyFill="1" applyBorder="1" applyAlignment="1">
      <alignment vertical="center" wrapText="1"/>
    </xf>
    <xf numFmtId="178" fontId="4" fillId="0" borderId="1" xfId="54" applyNumberFormat="1" applyFont="1" applyFill="1" applyBorder="1" applyAlignment="1">
      <alignment horizontal="right" vertical="center"/>
    </xf>
    <xf numFmtId="0" fontId="4" fillId="0" borderId="1" xfId="54" applyFont="1" applyFill="1" applyBorder="1" applyAlignment="1">
      <alignment vertical="center" wrapText="1"/>
    </xf>
    <xf numFmtId="0" fontId="4" fillId="0" borderId="0" xfId="0" applyFont="1" applyFill="1" applyBorder="1" applyAlignment="1">
      <alignment vertical="center"/>
    </xf>
    <xf numFmtId="0" fontId="0" fillId="0" borderId="0" xfId="0" applyFont="1" applyFill="1" applyBorder="1" applyAlignment="1"/>
    <xf numFmtId="181" fontId="0" fillId="0" borderId="0" xfId="0" applyNumberFormat="1" applyFont="1" applyFill="1" applyBorder="1" applyAlignment="1"/>
    <xf numFmtId="182" fontId="44" fillId="0" borderId="0" xfId="0" applyNumberFormat="1" applyFont="1" applyFill="1" applyBorder="1" applyAlignment="1"/>
    <xf numFmtId="181" fontId="0" fillId="0" borderId="0" xfId="0" applyNumberFormat="1" applyFont="1" applyFill="1" applyAlignment="1"/>
    <xf numFmtId="181" fontId="4" fillId="0" borderId="0" xfId="1" applyNumberFormat="1" applyFont="1" applyFill="1" applyAlignment="1">
      <alignment horizontal="right" vertical="center" wrapText="1"/>
    </xf>
    <xf numFmtId="182" fontId="4" fillId="0" borderId="0" xfId="1" applyNumberFormat="1" applyFont="1" applyFill="1" applyAlignment="1">
      <alignment horizontal="right" vertical="center" wrapText="1"/>
    </xf>
    <xf numFmtId="0" fontId="35" fillId="0" borderId="0" xfId="53" applyFont="1" applyFill="1" applyBorder="1" applyAlignment="1">
      <alignment horizontal="center" vertical="center"/>
    </xf>
    <xf numFmtId="183" fontId="37" fillId="0" borderId="0" xfId="1" applyNumberFormat="1" applyFont="1" applyFill="1" applyBorder="1" applyAlignment="1" applyProtection="1">
      <alignment horizontal="right" vertical="center" wrapText="1"/>
    </xf>
    <xf numFmtId="183" fontId="37" fillId="0" borderId="0" xfId="1" applyNumberFormat="1" applyFont="1" applyFill="1" applyAlignment="1" applyProtection="1">
      <alignment horizontal="right" vertical="center" wrapText="1"/>
    </xf>
    <xf numFmtId="0" fontId="45" fillId="0" borderId="1" xfId="53" applyFont="1" applyFill="1" applyBorder="1" applyAlignment="1">
      <alignment horizontal="center" vertical="center"/>
    </xf>
    <xf numFmtId="0" fontId="45" fillId="0" borderId="1" xfId="53" applyFont="1" applyFill="1" applyBorder="1" applyAlignment="1">
      <alignment horizontal="center" vertical="center" wrapText="1"/>
    </xf>
    <xf numFmtId="181" fontId="45" fillId="0" borderId="1" xfId="53" applyNumberFormat="1" applyFont="1" applyFill="1" applyBorder="1" applyAlignment="1">
      <alignment horizontal="center" vertical="center" wrapText="1"/>
    </xf>
    <xf numFmtId="182" fontId="46" fillId="0" borderId="1" xfId="53" applyNumberFormat="1" applyFont="1" applyFill="1" applyBorder="1" applyAlignment="1">
      <alignment horizontal="center" vertical="center" wrapText="1"/>
    </xf>
    <xf numFmtId="181" fontId="45" fillId="0" borderId="1" xfId="1" applyNumberFormat="1" applyFont="1" applyFill="1" applyBorder="1" applyAlignment="1" applyProtection="1">
      <alignment horizontal="center" vertical="center" wrapText="1"/>
    </xf>
    <xf numFmtId="182" fontId="37" fillId="0" borderId="1" xfId="1"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xf>
    <xf numFmtId="0" fontId="47" fillId="0" borderId="1" xfId="59" applyNumberFormat="1" applyFont="1" applyFill="1" applyBorder="1" applyAlignment="1" applyProtection="1">
      <alignment horizontal="center" vertical="center" wrapText="1"/>
    </xf>
    <xf numFmtId="181" fontId="47" fillId="0" borderId="1" xfId="59" applyNumberFormat="1" applyFont="1" applyFill="1" applyBorder="1" applyAlignment="1" applyProtection="1">
      <alignment vertical="center"/>
    </xf>
    <xf numFmtId="182" fontId="48" fillId="0" borderId="1" xfId="59" applyNumberFormat="1" applyFont="1" applyFill="1" applyBorder="1" applyAlignment="1" applyProtection="1">
      <alignment vertical="center"/>
    </xf>
    <xf numFmtId="181" fontId="16" fillId="0" borderId="1" xfId="1" applyNumberFormat="1" applyFont="1" applyFill="1" applyBorder="1" applyAlignment="1">
      <alignment horizontal="right" vertical="center" wrapText="1"/>
    </xf>
    <xf numFmtId="182" fontId="4" fillId="0" borderId="1" xfId="1" applyNumberFormat="1" applyFont="1" applyFill="1" applyBorder="1" applyAlignment="1">
      <alignment horizontal="right" vertical="center" wrapText="1"/>
    </xf>
    <xf numFmtId="181" fontId="45" fillId="0" borderId="1" xfId="59" applyNumberFormat="1" applyFont="1" applyFill="1" applyBorder="1" applyAlignment="1" applyProtection="1">
      <alignment vertical="center"/>
    </xf>
    <xf numFmtId="0" fontId="0" fillId="0" borderId="0" xfId="0" applyAlignment="1">
      <alignment horizontal="center" vertical="center"/>
    </xf>
    <xf numFmtId="0" fontId="16" fillId="0" borderId="0" xfId="52" applyFont="1" applyFill="1" applyBorder="1" applyAlignment="1">
      <alignment horizontal="center" vertical="center" wrapText="1"/>
    </xf>
    <xf numFmtId="0" fontId="22" fillId="0" borderId="0" xfId="56" applyFill="1" applyBorder="1" applyAlignment="1">
      <alignment vertical="center" wrapText="1"/>
    </xf>
    <xf numFmtId="178" fontId="22" fillId="0" borderId="0" xfId="56" applyNumberFormat="1" applyFill="1" applyBorder="1" applyAlignment="1">
      <alignment vertical="center"/>
    </xf>
    <xf numFmtId="0" fontId="35" fillId="0" borderId="0" xfId="56" applyFont="1" applyFill="1" applyBorder="1" applyAlignment="1">
      <alignment horizontal="center" vertical="center"/>
    </xf>
    <xf numFmtId="0" fontId="22" fillId="0" borderId="0" xfId="56" applyFill="1" applyBorder="1" applyAlignment="1">
      <alignment horizontal="center" vertical="center"/>
    </xf>
    <xf numFmtId="178" fontId="20" fillId="0" borderId="0" xfId="56" applyNumberFormat="1" applyFont="1" applyFill="1" applyBorder="1" applyAlignment="1">
      <alignment horizontal="right" vertical="center"/>
    </xf>
    <xf numFmtId="0" fontId="49" fillId="0" borderId="0" xfId="56" applyFont="1" applyFill="1" applyBorder="1" applyAlignment="1">
      <alignment horizontal="center" vertical="center"/>
    </xf>
    <xf numFmtId="49" fontId="39" fillId="0" borderId="4" xfId="56" applyNumberFormat="1" applyFont="1" applyFill="1" applyBorder="1" applyAlignment="1">
      <alignment horizontal="center" vertical="center" wrapText="1"/>
    </xf>
    <xf numFmtId="178" fontId="39" fillId="0" borderId="4" xfId="56" applyNumberFormat="1" applyFont="1" applyFill="1" applyBorder="1" applyAlignment="1">
      <alignment horizontal="center" vertical="center" wrapText="1"/>
    </xf>
    <xf numFmtId="177" fontId="39" fillId="0" borderId="1" xfId="56" applyNumberFormat="1" applyFont="1" applyFill="1" applyBorder="1" applyAlignment="1">
      <alignment vertical="center"/>
    </xf>
    <xf numFmtId="0" fontId="47" fillId="0" borderId="1" xfId="56" applyFont="1" applyFill="1" applyBorder="1" applyAlignment="1">
      <alignment horizontal="center" vertical="center" wrapText="1"/>
    </xf>
    <xf numFmtId="0" fontId="47" fillId="0" borderId="1" xfId="56" applyFont="1" applyFill="1" applyBorder="1" applyAlignment="1">
      <alignment vertical="center" wrapText="1"/>
    </xf>
    <xf numFmtId="177" fontId="16" fillId="0" borderId="1" xfId="0" applyNumberFormat="1" applyFont="1" applyFill="1" applyBorder="1" applyAlignment="1">
      <alignment horizontal="right" vertical="center"/>
    </xf>
    <xf numFmtId="0" fontId="50" fillId="0" borderId="1" xfId="56" applyFont="1" applyFill="1" applyBorder="1" applyAlignment="1">
      <alignment horizontal="center" vertical="center"/>
    </xf>
    <xf numFmtId="0" fontId="45" fillId="0" borderId="1" xfId="56" applyFont="1" applyFill="1" applyBorder="1" applyAlignment="1">
      <alignment horizontal="center" vertical="center"/>
    </xf>
    <xf numFmtId="0" fontId="45" fillId="0" borderId="1" xfId="56" applyFont="1" applyFill="1" applyBorder="1" applyAlignment="1">
      <alignment horizontal="center" vertical="center" wrapText="1"/>
    </xf>
    <xf numFmtId="178" fontId="45" fillId="0" borderId="1" xfId="56" applyNumberFormat="1" applyFont="1" applyFill="1" applyBorder="1" applyAlignment="1">
      <alignment horizontal="center" vertical="center"/>
    </xf>
    <xf numFmtId="177" fontId="45" fillId="0" borderId="1" xfId="56" applyNumberFormat="1" applyFont="1" applyFill="1" applyBorder="1" applyAlignment="1">
      <alignment vertical="center"/>
    </xf>
    <xf numFmtId="0" fontId="47" fillId="0" borderId="5" xfId="56" applyFont="1" applyFill="1" applyBorder="1" applyAlignment="1">
      <alignment horizontal="center" vertical="center" wrapText="1"/>
    </xf>
    <xf numFmtId="0" fontId="10" fillId="0" borderId="1" xfId="0" applyFont="1" applyFill="1" applyBorder="1" applyAlignment="1">
      <alignment horizontal="left" vertical="center" wrapText="1"/>
    </xf>
    <xf numFmtId="178" fontId="16" fillId="0" borderId="1" xfId="0" applyNumberFormat="1" applyFont="1" applyFill="1" applyBorder="1" applyAlignment="1">
      <alignment horizontal="right" vertical="center"/>
    </xf>
    <xf numFmtId="178" fontId="16" fillId="0" borderId="1" xfId="0" applyNumberFormat="1" applyFont="1" applyFill="1" applyBorder="1" applyAlignment="1">
      <alignment horizontal="left" vertical="center" wrapText="1"/>
    </xf>
    <xf numFmtId="0" fontId="16" fillId="0" borderId="1" xfId="49" applyFont="1" applyFill="1" applyBorder="1" applyAlignment="1">
      <alignment horizontal="left" vertical="center" wrapText="1"/>
    </xf>
    <xf numFmtId="0" fontId="0" fillId="0" borderId="0" xfId="0" applyFont="1" applyAlignment="1">
      <alignment wrapText="1"/>
    </xf>
    <xf numFmtId="0" fontId="16" fillId="0" borderId="1" xfId="49" applyFont="1" applyBorder="1" applyAlignment="1">
      <alignment horizontal="left" vertical="center" wrapText="1"/>
    </xf>
    <xf numFmtId="178" fontId="16" fillId="0" borderId="1" xfId="49" applyNumberFormat="1" applyFont="1" applyFill="1" applyBorder="1" applyAlignment="1">
      <alignment horizontal="right" vertical="center"/>
    </xf>
    <xf numFmtId="0" fontId="16" fillId="0" borderId="0" xfId="0" applyFont="1" applyAlignment="1">
      <alignment horizontal="center" vertical="center"/>
    </xf>
    <xf numFmtId="0" fontId="16" fillId="0" borderId="0" xfId="0" applyFont="1" applyAlignment="1">
      <alignment wrapText="1"/>
    </xf>
    <xf numFmtId="0" fontId="51" fillId="0" borderId="0" xfId="51" applyNumberFormat="1"/>
    <xf numFmtId="0" fontId="51" fillId="0" borderId="0" xfId="51"/>
    <xf numFmtId="181" fontId="51" fillId="0" borderId="0" xfId="51" applyNumberFormat="1"/>
    <xf numFmtId="181" fontId="51" fillId="2" borderId="0" xfId="51" applyNumberFormat="1" applyFill="1"/>
    <xf numFmtId="181" fontId="51" fillId="3" borderId="0" xfId="51" applyNumberFormat="1" applyFill="1"/>
    <xf numFmtId="184" fontId="51" fillId="0" borderId="0" xfId="51" applyNumberFormat="1"/>
    <xf numFmtId="0" fontId="16" fillId="0" borderId="0" xfId="52" applyNumberFormat="1" applyFont="1" applyFill="1" applyAlignment="1">
      <alignment vertical="center" wrapText="1"/>
    </xf>
    <xf numFmtId="0" fontId="16" fillId="0" borderId="0" xfId="52" applyFont="1" applyFill="1" applyAlignment="1">
      <alignment vertical="center" wrapText="1"/>
    </xf>
    <xf numFmtId="0" fontId="35" fillId="0" borderId="0" xfId="51" applyFont="1" applyAlignment="1">
      <alignment horizontal="center" vertical="center" wrapText="1"/>
    </xf>
    <xf numFmtId="0" fontId="35" fillId="0" borderId="0" xfId="51" applyFont="1" applyAlignment="1">
      <alignment horizontal="center" vertical="center"/>
    </xf>
    <xf numFmtId="0" fontId="35" fillId="2" borderId="0" xfId="51" applyFont="1" applyFill="1" applyAlignment="1">
      <alignment horizontal="center" vertical="center"/>
    </xf>
    <xf numFmtId="0" fontId="35" fillId="3" borderId="0" xfId="51" applyFont="1" applyFill="1" applyAlignment="1">
      <alignment horizontal="center" vertical="center"/>
    </xf>
    <xf numFmtId="184" fontId="35" fillId="0" borderId="0" xfId="51" applyNumberFormat="1" applyFont="1" applyAlignment="1">
      <alignment horizontal="center" vertical="center"/>
    </xf>
    <xf numFmtId="0" fontId="36" fillId="0" borderId="0" xfId="51" applyFont="1" applyAlignment="1">
      <alignment horizontal="center" vertical="center" wrapText="1"/>
    </xf>
    <xf numFmtId="0" fontId="36" fillId="0" borderId="0" xfId="51" applyFont="1" applyAlignment="1">
      <alignment horizontal="center" vertical="center"/>
    </xf>
    <xf numFmtId="0" fontId="36" fillId="2" borderId="0" xfId="51" applyFont="1" applyFill="1" applyAlignment="1">
      <alignment horizontal="center" vertical="center"/>
    </xf>
    <xf numFmtId="0" fontId="36" fillId="3" borderId="0" xfId="51" applyFont="1" applyFill="1" applyAlignment="1">
      <alignment horizontal="center" vertical="center"/>
    </xf>
    <xf numFmtId="184" fontId="36" fillId="0" borderId="0" xfId="51" applyNumberFormat="1" applyFont="1" applyAlignment="1">
      <alignment horizontal="center" vertical="center"/>
    </xf>
    <xf numFmtId="0" fontId="47" fillId="0" borderId="0" xfId="51" applyFont="1" applyAlignment="1">
      <alignment horizontal="right"/>
    </xf>
    <xf numFmtId="0" fontId="45" fillId="0" borderId="1" xfId="51" applyNumberFormat="1" applyFont="1" applyBorder="1" applyAlignment="1">
      <alignment horizontal="center" vertical="center"/>
    </xf>
    <xf numFmtId="0" fontId="39" fillId="0" borderId="1" xfId="51" applyFont="1" applyFill="1" applyBorder="1" applyAlignment="1">
      <alignment horizontal="center" vertical="center"/>
    </xf>
    <xf numFmtId="181" fontId="39" fillId="0" borderId="1" xfId="51" applyNumberFormat="1" applyFont="1" applyFill="1" applyBorder="1" applyAlignment="1">
      <alignment horizontal="center" vertical="center" wrapText="1"/>
    </xf>
    <xf numFmtId="181" fontId="39" fillId="2" borderId="1" xfId="51" applyNumberFormat="1" applyFont="1" applyFill="1" applyBorder="1" applyAlignment="1">
      <alignment horizontal="center" vertical="center" wrapText="1"/>
    </xf>
    <xf numFmtId="181" fontId="39" fillId="3" borderId="1" xfId="51" applyNumberFormat="1" applyFont="1" applyFill="1" applyBorder="1" applyAlignment="1">
      <alignment horizontal="center" vertical="center" wrapText="1"/>
    </xf>
    <xf numFmtId="184" fontId="39" fillId="0" borderId="1" xfId="51" applyNumberFormat="1" applyFont="1" applyFill="1" applyBorder="1" applyAlignment="1">
      <alignment horizontal="center" vertical="center" wrapText="1"/>
    </xf>
    <xf numFmtId="0" fontId="39" fillId="0" borderId="1" xfId="51" applyFont="1" applyFill="1" applyBorder="1" applyAlignment="1">
      <alignment horizontal="center" vertical="center" wrapText="1"/>
    </xf>
    <xf numFmtId="0" fontId="45" fillId="0" borderId="1" xfId="51" applyNumberFormat="1" applyFont="1" applyBorder="1" applyAlignment="1">
      <alignment vertical="center"/>
    </xf>
    <xf numFmtId="0" fontId="45" fillId="0" borderId="1" xfId="51" applyFont="1" applyBorder="1" applyAlignment="1">
      <alignment horizontal="center" vertical="center"/>
    </xf>
    <xf numFmtId="181" fontId="45" fillId="0" borderId="1" xfId="51" applyNumberFormat="1" applyFont="1" applyFill="1" applyBorder="1" applyAlignment="1">
      <alignment vertical="center"/>
    </xf>
    <xf numFmtId="181" fontId="45" fillId="2" borderId="1" xfId="51" applyNumberFormat="1" applyFont="1" applyFill="1" applyBorder="1" applyAlignment="1">
      <alignment vertical="center"/>
    </xf>
    <xf numFmtId="181" fontId="45" fillId="3" borderId="1" xfId="51" applyNumberFormat="1" applyFont="1" applyFill="1" applyBorder="1" applyAlignment="1">
      <alignment vertical="center"/>
    </xf>
    <xf numFmtId="184" fontId="45" fillId="0" borderId="1" xfId="51" applyNumberFormat="1" applyFont="1" applyBorder="1" applyAlignment="1">
      <alignment vertical="center"/>
    </xf>
    <xf numFmtId="181" fontId="45" fillId="0" borderId="1" xfId="51" applyNumberFormat="1" applyFont="1" applyBorder="1" applyAlignment="1">
      <alignment vertical="center"/>
    </xf>
    <xf numFmtId="10" fontId="39" fillId="0" borderId="1" xfId="51" applyNumberFormat="1" applyFont="1" applyFill="1" applyBorder="1" applyAlignment="1">
      <alignment horizontal="right" vertical="center"/>
    </xf>
    <xf numFmtId="0" fontId="52" fillId="0" borderId="1" xfId="51" applyFont="1" applyBorder="1" applyAlignment="1">
      <alignment vertical="center"/>
    </xf>
    <xf numFmtId="0" fontId="45" fillId="0" borderId="1" xfId="51" applyFont="1" applyBorder="1" applyAlignment="1">
      <alignment vertical="center"/>
    </xf>
    <xf numFmtId="10" fontId="51" fillId="0" borderId="0" xfId="51" applyNumberFormat="1"/>
    <xf numFmtId="0" fontId="47" fillId="0" borderId="1" xfId="51" applyNumberFormat="1" applyFont="1" applyBorder="1" applyAlignment="1">
      <alignment vertical="center"/>
    </xf>
    <xf numFmtId="0" fontId="47" fillId="0" borderId="1" xfId="51" applyFont="1" applyBorder="1" applyAlignment="1">
      <alignment vertical="center"/>
    </xf>
    <xf numFmtId="181" fontId="47" fillId="0" borderId="1" xfId="51" applyNumberFormat="1" applyFont="1" applyBorder="1" applyAlignment="1">
      <alignment vertical="center"/>
    </xf>
    <xf numFmtId="181" fontId="47" fillId="2" borderId="1" xfId="51" applyNumberFormat="1" applyFont="1" applyFill="1" applyBorder="1" applyAlignment="1">
      <alignment vertical="center"/>
    </xf>
    <xf numFmtId="181" fontId="47" fillId="3" borderId="1" xfId="51" applyNumberFormat="1" applyFont="1" applyFill="1" applyBorder="1" applyAlignment="1">
      <alignment vertical="center"/>
    </xf>
    <xf numFmtId="184" fontId="47" fillId="0" borderId="1" xfId="51" applyNumberFormat="1" applyFont="1" applyBorder="1" applyAlignment="1">
      <alignment vertical="center"/>
    </xf>
    <xf numFmtId="10" fontId="16" fillId="0" borderId="1" xfId="51" applyNumberFormat="1" applyFont="1" applyFill="1" applyBorder="1" applyAlignment="1">
      <alignment horizontal="right" vertical="center"/>
    </xf>
    <xf numFmtId="0" fontId="20" fillId="0" borderId="1" xfId="51" applyFont="1" applyBorder="1" applyAlignment="1">
      <alignment vertical="center" wrapText="1"/>
    </xf>
    <xf numFmtId="0" fontId="37" fillId="0" borderId="1" xfId="51" applyFont="1" applyBorder="1" applyAlignment="1">
      <alignment vertical="center" wrapText="1"/>
    </xf>
    <xf numFmtId="181" fontId="51" fillId="2" borderId="0" xfId="51" applyNumberFormat="1" applyFont="1" applyFill="1"/>
    <xf numFmtId="184" fontId="45" fillId="2" borderId="1" xfId="51" applyNumberFormat="1" applyFont="1" applyFill="1" applyBorder="1" applyAlignment="1">
      <alignment vertical="center"/>
    </xf>
    <xf numFmtId="184" fontId="47" fillId="2" borderId="1" xfId="51" applyNumberFormat="1" applyFont="1" applyFill="1" applyBorder="1" applyAlignment="1">
      <alignment vertical="center"/>
    </xf>
    <xf numFmtId="181" fontId="47" fillId="0" borderId="1" xfId="51" applyNumberFormat="1" applyFont="1" applyFill="1" applyBorder="1" applyAlignment="1">
      <alignment vertical="center"/>
    </xf>
    <xf numFmtId="0" fontId="47" fillId="0" borderId="1" xfId="51" applyNumberFormat="1" applyFont="1" applyBorder="1" applyAlignment="1">
      <alignment vertical="center" wrapText="1"/>
    </xf>
    <xf numFmtId="178" fontId="51" fillId="0" borderId="0" xfId="67" applyNumberFormat="1" applyFont="1" applyFill="1" applyAlignment="1"/>
    <xf numFmtId="0" fontId="51" fillId="0" borderId="0" xfId="67" applyFont="1" applyFill="1" applyAlignment="1"/>
    <xf numFmtId="10" fontId="51" fillId="0" borderId="0" xfId="67" applyNumberFormat="1" applyFont="1" applyFill="1" applyAlignment="1"/>
    <xf numFmtId="0" fontId="51" fillId="0" borderId="0" xfId="67" applyFont="1" applyFill="1" applyAlignment="1">
      <alignment wrapText="1"/>
    </xf>
    <xf numFmtId="0" fontId="51" fillId="2" borderId="0" xfId="67" applyFont="1" applyFill="1" applyAlignment="1"/>
    <xf numFmtId="0" fontId="51" fillId="0" borderId="0" xfId="67" applyFont="1" applyFill="1" applyAlignment="1">
      <alignment horizontal="right" wrapText="1"/>
    </xf>
    <xf numFmtId="0" fontId="47" fillId="0" borderId="0" xfId="67" applyNumberFormat="1" applyFont="1" applyFill="1" applyAlignment="1"/>
    <xf numFmtId="0" fontId="47" fillId="0" borderId="0" xfId="67" applyFont="1" applyFill="1" applyAlignment="1">
      <alignment vertical="center" wrapText="1"/>
    </xf>
    <xf numFmtId="0" fontId="53" fillId="0" borderId="0" xfId="67" applyFont="1" applyFill="1" applyAlignment="1">
      <alignment horizontal="center" vertical="center" wrapText="1"/>
    </xf>
    <xf numFmtId="0" fontId="53" fillId="0" borderId="0" xfId="67" applyFont="1" applyFill="1" applyAlignment="1">
      <alignment horizontal="center" vertical="center"/>
    </xf>
    <xf numFmtId="0" fontId="53" fillId="2" borderId="0" xfId="67" applyFont="1" applyFill="1" applyAlignment="1">
      <alignment horizontal="center" vertical="center"/>
    </xf>
    <xf numFmtId="0" fontId="53" fillId="0" borderId="0" xfId="67" applyFont="1" applyFill="1" applyAlignment="1">
      <alignment horizontal="right" vertical="center" wrapText="1"/>
    </xf>
    <xf numFmtId="0" fontId="45" fillId="0" borderId="0" xfId="67" applyFont="1" applyFill="1" applyAlignment="1">
      <alignment horizontal="center" vertical="center"/>
    </xf>
    <xf numFmtId="0" fontId="54" fillId="0" borderId="0" xfId="67" applyFont="1" applyFill="1" applyAlignment="1">
      <alignment wrapText="1"/>
    </xf>
    <xf numFmtId="0" fontId="47" fillId="0" borderId="0" xfId="67" applyFont="1" applyFill="1" applyBorder="1" applyAlignment="1">
      <alignment horizontal="right" vertical="center"/>
    </xf>
    <xf numFmtId="0" fontId="20" fillId="0" borderId="1" xfId="67" applyFont="1" applyFill="1" applyBorder="1" applyAlignment="1">
      <alignment horizontal="center" vertical="center"/>
    </xf>
    <xf numFmtId="0" fontId="45" fillId="0" borderId="1" xfId="67"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0" borderId="1" xfId="54" applyNumberFormat="1" applyFont="1" applyFill="1" applyBorder="1" applyAlignment="1">
      <alignment horizontal="center" vertical="center" wrapText="1"/>
    </xf>
    <xf numFmtId="0" fontId="20" fillId="0" borderId="1" xfId="67" applyFont="1" applyFill="1" applyBorder="1" applyAlignment="1">
      <alignment horizontal="left" vertical="center"/>
    </xf>
    <xf numFmtId="0" fontId="45" fillId="4" borderId="1" xfId="67" applyFont="1" applyFill="1" applyBorder="1" applyAlignment="1">
      <alignment horizontal="left" vertical="center" wrapText="1"/>
    </xf>
    <xf numFmtId="3" fontId="45" fillId="4" borderId="1" xfId="67" applyNumberFormat="1" applyFont="1" applyFill="1" applyBorder="1" applyAlignment="1">
      <alignment horizontal="right" vertical="center"/>
    </xf>
    <xf numFmtId="3" fontId="47" fillId="4" borderId="1" xfId="67" applyNumberFormat="1" applyFont="1" applyFill="1" applyBorder="1" applyAlignment="1">
      <alignment horizontal="right" vertical="center"/>
    </xf>
    <xf numFmtId="3" fontId="45" fillId="4" borderId="1" xfId="67" applyNumberFormat="1" applyFont="1" applyFill="1" applyBorder="1" applyAlignment="1">
      <alignment horizontal="right" vertical="center" wrapText="1"/>
    </xf>
    <xf numFmtId="10" fontId="45" fillId="4" borderId="1" xfId="67" applyNumberFormat="1" applyFont="1" applyFill="1" applyBorder="1" applyAlignment="1">
      <alignment horizontal="right" vertical="center"/>
    </xf>
    <xf numFmtId="0" fontId="20" fillId="0" borderId="1" xfId="67" applyFont="1" applyFill="1" applyBorder="1" applyAlignment="1">
      <alignment vertical="center"/>
    </xf>
    <xf numFmtId="0" fontId="47" fillId="5" borderId="1" xfId="67" applyFont="1" applyFill="1" applyBorder="1" applyAlignment="1">
      <alignment horizontal="left" vertical="center" wrapText="1"/>
    </xf>
    <xf numFmtId="3" fontId="47" fillId="5" borderId="1" xfId="67" applyNumberFormat="1" applyFont="1" applyFill="1" applyBorder="1" applyAlignment="1">
      <alignment horizontal="right" vertical="center"/>
    </xf>
    <xf numFmtId="3" fontId="47" fillId="5" borderId="1" xfId="67" applyNumberFormat="1" applyFont="1" applyFill="1" applyBorder="1" applyAlignment="1">
      <alignment horizontal="right" vertical="center" wrapText="1"/>
    </xf>
    <xf numFmtId="10" fontId="47" fillId="5" borderId="1" xfId="67" applyNumberFormat="1" applyFont="1" applyFill="1" applyBorder="1" applyAlignment="1">
      <alignment horizontal="right" vertical="center"/>
    </xf>
    <xf numFmtId="0" fontId="47" fillId="0" borderId="1" xfId="67" applyFont="1" applyFill="1" applyBorder="1" applyAlignment="1">
      <alignment horizontal="left" vertical="center" wrapText="1"/>
    </xf>
    <xf numFmtId="3" fontId="47" fillId="0" borderId="1" xfId="67" applyNumberFormat="1" applyFont="1" applyFill="1" applyBorder="1" applyAlignment="1">
      <alignment horizontal="right" vertical="center"/>
    </xf>
    <xf numFmtId="3" fontId="47" fillId="2" borderId="1" xfId="67" applyNumberFormat="1" applyFont="1" applyFill="1" applyBorder="1" applyAlignment="1">
      <alignment horizontal="right" vertical="center"/>
    </xf>
    <xf numFmtId="3" fontId="47" fillId="0" borderId="1" xfId="67" applyNumberFormat="1" applyFont="1" applyFill="1" applyBorder="1" applyAlignment="1">
      <alignment horizontal="right" vertical="center" wrapText="1"/>
    </xf>
    <xf numFmtId="10" fontId="47" fillId="0" borderId="1" xfId="67" applyNumberFormat="1" applyFont="1" applyFill="1" applyBorder="1" applyAlignment="1">
      <alignment horizontal="right" vertical="center"/>
    </xf>
    <xf numFmtId="0" fontId="47" fillId="0" borderId="1" xfId="67" applyNumberFormat="1" applyFont="1" applyFill="1" applyBorder="1" applyAlignment="1">
      <alignment horizontal="left" vertical="center" wrapText="1"/>
    </xf>
    <xf numFmtId="0" fontId="16" fillId="0" borderId="1" xfId="67" applyNumberFormat="1" applyFont="1" applyFill="1" applyBorder="1" applyAlignment="1" applyProtection="1">
      <alignment horizontal="left" vertical="center" wrapText="1"/>
    </xf>
    <xf numFmtId="41" fontId="47" fillId="0" borderId="1" xfId="67" applyNumberFormat="1" applyFont="1" applyFill="1" applyBorder="1" applyAlignment="1">
      <alignment horizontal="right" vertical="center"/>
    </xf>
    <xf numFmtId="0" fontId="47" fillId="0" borderId="1" xfId="0" applyFont="1" applyFill="1" applyBorder="1" applyAlignment="1">
      <alignment horizontal="left" vertical="center" wrapText="1"/>
    </xf>
    <xf numFmtId="0" fontId="47" fillId="5" borderId="1" xfId="67" applyNumberFormat="1" applyFont="1" applyFill="1" applyBorder="1" applyAlignment="1">
      <alignment horizontal="left" vertical="center" wrapText="1"/>
    </xf>
    <xf numFmtId="0" fontId="4" fillId="0" borderId="1" xfId="67" applyNumberFormat="1" applyFont="1" applyFill="1" applyBorder="1" applyAlignment="1" applyProtection="1">
      <alignment horizontal="left" vertical="center"/>
    </xf>
    <xf numFmtId="0" fontId="16" fillId="5" borderId="1" xfId="67" applyNumberFormat="1" applyFont="1" applyFill="1" applyBorder="1" applyAlignment="1" applyProtection="1">
      <alignment horizontal="left" vertical="center" wrapText="1"/>
    </xf>
    <xf numFmtId="41" fontId="47" fillId="5" borderId="1" xfId="67" applyNumberFormat="1" applyFont="1" applyFill="1" applyBorder="1" applyAlignment="1">
      <alignment horizontal="right" vertical="center"/>
    </xf>
    <xf numFmtId="0" fontId="47" fillId="0" borderId="0" xfId="67" applyFont="1" applyFill="1" applyAlignment="1"/>
    <xf numFmtId="0" fontId="16" fillId="5" borderId="5" xfId="0" applyNumberFormat="1" applyFont="1" applyFill="1" applyBorder="1" applyAlignment="1" applyProtection="1">
      <alignment vertical="center" wrapText="1"/>
    </xf>
    <xf numFmtId="0" fontId="4" fillId="5" borderId="1" xfId="67" applyNumberFormat="1" applyFont="1" applyFill="1" applyBorder="1" applyAlignment="1" applyProtection="1">
      <alignment horizontal="left" vertical="center"/>
    </xf>
    <xf numFmtId="3" fontId="45" fillId="4" borderId="1" xfId="67" applyNumberFormat="1" applyFont="1" applyFill="1" applyBorder="1" applyAlignment="1">
      <alignment horizontal="left" vertical="center" wrapText="1"/>
    </xf>
    <xf numFmtId="0" fontId="16" fillId="0" borderId="1" xfId="67" applyNumberFormat="1" applyFont="1" applyFill="1" applyBorder="1" applyAlignment="1">
      <alignment horizontal="left" vertical="center" wrapText="1"/>
    </xf>
    <xf numFmtId="3" fontId="47" fillId="0" borderId="1" xfId="0" applyNumberFormat="1" applyFont="1" applyFill="1" applyBorder="1" applyAlignment="1">
      <alignment horizontal="right" vertical="center"/>
    </xf>
    <xf numFmtId="3" fontId="47" fillId="4" borderId="6" xfId="0" applyNumberFormat="1" applyFont="1" applyFill="1" applyBorder="1" applyAlignment="1">
      <alignment horizontal="right" vertical="center"/>
    </xf>
    <xf numFmtId="3" fontId="47" fillId="5" borderId="6" xfId="0" applyNumberFormat="1" applyFont="1" applyFill="1" applyBorder="1" applyAlignment="1">
      <alignment horizontal="right" vertical="center"/>
    </xf>
    <xf numFmtId="0" fontId="16" fillId="0" borderId="1" xfId="0" applyFont="1" applyFill="1" applyBorder="1" applyAlignment="1">
      <alignment vertical="center" wrapText="1"/>
    </xf>
    <xf numFmtId="0" fontId="47" fillId="5" borderId="6" xfId="0" applyFont="1" applyFill="1" applyBorder="1" applyAlignment="1">
      <alignment horizontal="left" vertical="center" wrapText="1"/>
    </xf>
    <xf numFmtId="0" fontId="20" fillId="5" borderId="1" xfId="67" applyNumberFormat="1" applyFont="1" applyFill="1" applyBorder="1" applyAlignment="1">
      <alignment horizontal="left" vertical="center" wrapText="1"/>
    </xf>
    <xf numFmtId="3" fontId="48" fillId="2" borderId="1" xfId="67" applyNumberFormat="1" applyFont="1" applyFill="1" applyBorder="1" applyAlignment="1">
      <alignment horizontal="right" vertical="center"/>
    </xf>
    <xf numFmtId="3" fontId="48" fillId="0" borderId="1" xfId="67" applyNumberFormat="1" applyFont="1" applyFill="1" applyBorder="1" applyAlignment="1">
      <alignment horizontal="right" vertical="center"/>
    </xf>
    <xf numFmtId="3" fontId="48" fillId="5" borderId="1" xfId="67" applyNumberFormat="1" applyFont="1" applyFill="1" applyBorder="1" applyAlignment="1">
      <alignment horizontal="right" vertical="center"/>
    </xf>
    <xf numFmtId="3" fontId="47" fillId="0" borderId="6" xfId="0" applyNumberFormat="1" applyFont="1" applyFill="1" applyBorder="1" applyAlignment="1">
      <alignment horizontal="right" vertical="center"/>
    </xf>
    <xf numFmtId="183" fontId="47" fillId="0" borderId="1" xfId="1" applyNumberFormat="1" applyFont="1" applyFill="1" applyBorder="1" applyAlignment="1" applyProtection="1">
      <alignment horizontal="right" wrapText="1"/>
    </xf>
    <xf numFmtId="0" fontId="45" fillId="4" borderId="1" xfId="67" applyNumberFormat="1" applyFont="1" applyFill="1" applyBorder="1" applyAlignment="1">
      <alignment horizontal="left" vertical="center" wrapText="1"/>
    </xf>
    <xf numFmtId="0" fontId="47" fillId="5" borderId="1" xfId="67" applyNumberFormat="1" applyFont="1" applyFill="1" applyBorder="1" applyAlignment="1">
      <alignment horizontal="right" vertical="center"/>
    </xf>
    <xf numFmtId="0" fontId="47" fillId="5" borderId="1" xfId="67" applyNumberFormat="1" applyFont="1" applyFill="1" applyBorder="1" applyAlignment="1">
      <alignment horizontal="left" vertical="center"/>
    </xf>
    <xf numFmtId="10" fontId="45" fillId="4" borderId="1" xfId="67" applyNumberFormat="1" applyFont="1" applyFill="1" applyBorder="1" applyAlignment="1">
      <alignment horizontal="left" vertical="center"/>
    </xf>
    <xf numFmtId="0" fontId="47" fillId="0" borderId="1" xfId="67" applyNumberFormat="1" applyFont="1" applyFill="1" applyBorder="1" applyAlignment="1">
      <alignment horizontal="left" vertical="center"/>
    </xf>
    <xf numFmtId="0" fontId="20" fillId="4" borderId="1" xfId="67" applyFont="1" applyFill="1" applyBorder="1" applyAlignment="1"/>
    <xf numFmtId="3" fontId="39" fillId="4" borderId="1" xfId="56" applyNumberFormat="1" applyFont="1" applyFill="1" applyBorder="1" applyAlignment="1">
      <alignment horizontal="right" vertical="center" wrapText="1"/>
    </xf>
    <xf numFmtId="177" fontId="16" fillId="4" borderId="1" xfId="56" applyNumberFormat="1" applyFont="1" applyFill="1" applyBorder="1" applyAlignment="1">
      <alignment horizontal="right" vertical="center"/>
    </xf>
    <xf numFmtId="0" fontId="39" fillId="4" borderId="1" xfId="54" applyNumberFormat="1" applyFont="1" applyFill="1" applyBorder="1" applyAlignment="1">
      <alignment vertical="center" wrapText="1"/>
    </xf>
    <xf numFmtId="181" fontId="16" fillId="5" borderId="1" xfId="54" applyNumberFormat="1" applyFont="1" applyFill="1" applyBorder="1" applyAlignment="1" applyProtection="1">
      <alignment horizontal="left" vertical="center" wrapText="1"/>
      <protection locked="0"/>
    </xf>
    <xf numFmtId="0" fontId="16" fillId="5" borderId="1" xfId="54" applyNumberFormat="1" applyFont="1" applyFill="1" applyBorder="1" applyAlignment="1">
      <alignment vertical="center" wrapText="1"/>
    </xf>
    <xf numFmtId="181" fontId="16" fillId="0" borderId="1" xfId="54" applyNumberFormat="1" applyFont="1" applyFill="1" applyBorder="1" applyAlignment="1" applyProtection="1">
      <alignment horizontal="left" vertical="center" wrapText="1"/>
      <protection locked="0"/>
    </xf>
    <xf numFmtId="0" fontId="16" fillId="0" borderId="1" xfId="54" applyNumberFormat="1" applyFont="1" applyFill="1" applyBorder="1" applyAlignment="1">
      <alignment vertical="center" wrapText="1"/>
    </xf>
    <xf numFmtId="181" fontId="16" fillId="0" borderId="1" xfId="54" applyNumberFormat="1" applyFont="1" applyFill="1" applyBorder="1" applyAlignment="1" applyProtection="1">
      <alignment vertical="center" wrapText="1"/>
      <protection locked="0"/>
    </xf>
    <xf numFmtId="0" fontId="16" fillId="0" borderId="1" xfId="54" applyFont="1" applyFill="1" applyBorder="1" applyAlignment="1">
      <alignment vertical="center" wrapText="1"/>
    </xf>
    <xf numFmtId="0" fontId="45" fillId="6" borderId="1" xfId="67" applyFont="1" applyFill="1" applyBorder="1" applyAlignment="1">
      <alignment horizontal="left" vertical="center" wrapText="1"/>
    </xf>
    <xf numFmtId="3" fontId="45" fillId="6" borderId="1" xfId="67" applyNumberFormat="1" applyFont="1" applyFill="1" applyBorder="1" applyAlignment="1">
      <alignment horizontal="right" vertical="center" wrapText="1"/>
    </xf>
    <xf numFmtId="3" fontId="45" fillId="6" borderId="1" xfId="67" applyNumberFormat="1" applyFont="1" applyFill="1" applyBorder="1" applyAlignment="1">
      <alignment horizontal="right" vertical="center"/>
    </xf>
    <xf numFmtId="10" fontId="45" fillId="6" borderId="1" xfId="67" applyNumberFormat="1" applyFont="1" applyFill="1" applyBorder="1" applyAlignment="1">
      <alignment horizontal="right" vertical="center"/>
    </xf>
    <xf numFmtId="3" fontId="47" fillId="6" borderId="1" xfId="67" applyNumberFormat="1" applyFont="1" applyFill="1" applyBorder="1" applyAlignment="1">
      <alignment horizontal="right" vertical="center"/>
    </xf>
    <xf numFmtId="178" fontId="51" fillId="2" borderId="0" xfId="67" applyNumberFormat="1" applyFont="1" applyFill="1" applyAlignment="1"/>
    <xf numFmtId="178" fontId="51" fillId="0" borderId="0" xfId="67" applyNumberFormat="1" applyFont="1" applyFill="1" applyAlignment="1">
      <alignment horizontal="right" wrapText="1"/>
    </xf>
    <xf numFmtId="0" fontId="55" fillId="0" borderId="0" xfId="52" applyFont="1" applyAlignment="1"/>
    <xf numFmtId="0" fontId="55" fillId="0" borderId="0" xfId="52" applyFont="1" applyAlignment="1">
      <alignment wrapText="1"/>
    </xf>
    <xf numFmtId="0" fontId="16" fillId="0" borderId="0" xfId="52" applyFont="1" applyAlignment="1"/>
    <xf numFmtId="0" fontId="31" fillId="0" borderId="0" xfId="52" applyFont="1" applyAlignment="1">
      <alignment horizontal="center" vertical="center"/>
    </xf>
    <xf numFmtId="0" fontId="31" fillId="0" borderId="0" xfId="52" applyFont="1" applyAlignment="1">
      <alignment horizontal="center" vertical="center" wrapText="1"/>
    </xf>
    <xf numFmtId="0" fontId="56" fillId="0" borderId="0" xfId="52" applyFont="1" applyAlignment="1"/>
    <xf numFmtId="0" fontId="56" fillId="0" borderId="0" xfId="52" applyFont="1" applyAlignment="1">
      <alignment wrapText="1"/>
    </xf>
    <xf numFmtId="0" fontId="16" fillId="0" borderId="3" xfId="52" applyFont="1" applyBorder="1" applyAlignment="1">
      <alignment horizontal="right"/>
    </xf>
    <xf numFmtId="0" fontId="39" fillId="0" borderId="1" xfId="52" applyFont="1" applyBorder="1" applyAlignment="1">
      <alignment horizontal="center" vertical="center" wrapText="1"/>
    </xf>
    <xf numFmtId="0" fontId="39" fillId="0" borderId="1" xfId="0" applyFont="1" applyBorder="1" applyAlignment="1">
      <alignment horizontal="centerContinuous" vertical="center" wrapText="1"/>
    </xf>
    <xf numFmtId="0" fontId="39" fillId="0" borderId="1" xfId="52" applyFont="1" applyBorder="1" applyAlignment="1">
      <alignment vertical="center"/>
    </xf>
    <xf numFmtId="178" fontId="57" fillId="0" borderId="1" xfId="1" applyNumberFormat="1" applyFont="1" applyFill="1" applyBorder="1" applyAlignment="1" applyProtection="1">
      <alignment horizontal="right" vertical="center" wrapText="1"/>
    </xf>
    <xf numFmtId="181" fontId="39" fillId="0" borderId="1" xfId="52" applyNumberFormat="1" applyFont="1" applyBorder="1" applyAlignment="1">
      <alignment horizontal="right" vertical="center" wrapText="1"/>
    </xf>
    <xf numFmtId="10" fontId="39" fillId="0" borderId="1" xfId="52" applyNumberFormat="1" applyFont="1" applyBorder="1" applyAlignment="1">
      <alignment horizontal="right" vertical="center" wrapText="1"/>
    </xf>
    <xf numFmtId="0" fontId="16" fillId="0" borderId="1" xfId="52" applyFont="1" applyBorder="1" applyAlignment="1">
      <alignment vertical="center"/>
    </xf>
    <xf numFmtId="178" fontId="58" fillId="0" borderId="1" xfId="1" applyNumberFormat="1" applyFont="1" applyFill="1" applyBorder="1" applyAlignment="1" applyProtection="1">
      <alignment horizontal="right" vertical="center" wrapText="1"/>
    </xf>
    <xf numFmtId="181" fontId="16" fillId="0" borderId="1" xfId="52" applyNumberFormat="1" applyFont="1" applyBorder="1" applyAlignment="1">
      <alignment horizontal="right" vertical="center"/>
    </xf>
    <xf numFmtId="10" fontId="16" fillId="0" borderId="1" xfId="52" applyNumberFormat="1" applyFont="1" applyBorder="1" applyAlignment="1">
      <alignment horizontal="right" vertical="center" wrapText="1"/>
    </xf>
    <xf numFmtId="10" fontId="16" fillId="0" borderId="1" xfId="0" applyNumberFormat="1" applyFont="1" applyFill="1" applyBorder="1" applyAlignment="1">
      <alignment vertical="center" wrapText="1"/>
    </xf>
    <xf numFmtId="0" fontId="58" fillId="0" borderId="1" xfId="52" applyFont="1" applyBorder="1" applyAlignment="1">
      <alignment vertical="center"/>
    </xf>
    <xf numFmtId="181" fontId="39" fillId="0" borderId="1" xfId="52" applyNumberFormat="1" applyFont="1" applyBorder="1" applyAlignment="1">
      <alignment vertical="center" wrapText="1"/>
    </xf>
    <xf numFmtId="0" fontId="16" fillId="0" borderId="1" xfId="52" applyFont="1" applyBorder="1" applyAlignment="1">
      <alignment vertical="center" wrapText="1"/>
    </xf>
    <xf numFmtId="178" fontId="16" fillId="0" borderId="1" xfId="52" applyNumberFormat="1" applyFont="1" applyBorder="1" applyAlignment="1">
      <alignment horizontal="right" vertical="center" wrapText="1"/>
    </xf>
    <xf numFmtId="178" fontId="16" fillId="0" borderId="1" xfId="52" applyNumberFormat="1" applyFont="1" applyFill="1" applyBorder="1" applyAlignment="1">
      <alignment horizontal="right" vertical="center" wrapText="1"/>
    </xf>
    <xf numFmtId="178" fontId="16" fillId="0" borderId="6" xfId="52" applyNumberFormat="1" applyFont="1" applyFill="1" applyBorder="1" applyAlignment="1">
      <alignment horizontal="right" vertical="center" wrapText="1"/>
    </xf>
    <xf numFmtId="178" fontId="16" fillId="0" borderId="0" xfId="52" applyNumberFormat="1" applyFont="1" applyFill="1" applyAlignment="1">
      <alignment horizontal="right" vertical="center" wrapText="1"/>
    </xf>
    <xf numFmtId="181" fontId="39" fillId="0" borderId="6" xfId="52" applyNumberFormat="1" applyFont="1" applyBorder="1" applyAlignment="1">
      <alignment horizontal="right" vertical="center" wrapText="1"/>
    </xf>
    <xf numFmtId="0" fontId="16" fillId="0" borderId="1" xfId="0" applyFont="1" applyBorder="1" applyAlignment="1">
      <alignment vertical="center"/>
    </xf>
    <xf numFmtId="178" fontId="16" fillId="0" borderId="1" xfId="52" applyNumberFormat="1" applyFont="1" applyBorder="1" applyAlignment="1">
      <alignment horizontal="right" vertical="center"/>
    </xf>
    <xf numFmtId="178" fontId="58" fillId="0" borderId="1" xfId="0" applyNumberFormat="1" applyFont="1" applyBorder="1" applyAlignment="1">
      <alignment horizontal="right" vertical="center"/>
    </xf>
    <xf numFmtId="178" fontId="16" fillId="0" borderId="1" xfId="0" applyNumberFormat="1" applyFont="1" applyBorder="1" applyAlignment="1">
      <alignment vertical="center" wrapText="1"/>
    </xf>
    <xf numFmtId="0" fontId="16" fillId="0" borderId="1" xfId="52" applyNumberFormat="1" applyFont="1" applyBorder="1" applyAlignment="1">
      <alignment vertical="center" wrapText="1"/>
    </xf>
    <xf numFmtId="178" fontId="16" fillId="0" borderId="1" xfId="0" applyNumberFormat="1" applyFont="1" applyFill="1" applyBorder="1" applyAlignment="1">
      <alignment horizontal="right" vertical="center" wrapText="1"/>
    </xf>
    <xf numFmtId="0" fontId="39" fillId="0" borderId="1" xfId="0" applyFont="1" applyBorder="1" applyAlignment="1">
      <alignment vertical="center"/>
    </xf>
    <xf numFmtId="178" fontId="39" fillId="0" borderId="1" xfId="0" applyNumberFormat="1" applyFont="1" applyFill="1" applyBorder="1" applyAlignment="1">
      <alignment horizontal="right" vertical="center"/>
    </xf>
    <xf numFmtId="178" fontId="39" fillId="0" borderId="1" xfId="0" applyNumberFormat="1" applyFont="1" applyFill="1" applyBorder="1" applyAlignment="1">
      <alignment horizontal="right" vertical="center" wrapText="1"/>
    </xf>
    <xf numFmtId="0" fontId="18"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vertical="center" wrapText="1"/>
    </xf>
    <xf numFmtId="0" fontId="10" fillId="0" borderId="0" xfId="0" applyFont="1" applyFill="1" applyAlignment="1">
      <alignment vertical="center"/>
    </xf>
    <xf numFmtId="177" fontId="10" fillId="0" borderId="0" xfId="0" applyNumberFormat="1" applyFont="1" applyFill="1" applyAlignment="1">
      <alignment vertical="center"/>
    </xf>
    <xf numFmtId="0" fontId="10" fillId="0" borderId="0" xfId="0" applyFont="1" applyFill="1" applyAlignment="1">
      <alignment horizontal="left" vertical="center"/>
    </xf>
    <xf numFmtId="0" fontId="59" fillId="0" borderId="0" xfId="0" applyFont="1" applyFill="1" applyAlignment="1">
      <alignment horizontal="center" vertical="center"/>
    </xf>
    <xf numFmtId="0" fontId="59" fillId="0" borderId="0" xfId="0" applyFont="1" applyFill="1" applyAlignment="1">
      <alignment horizontal="center" vertical="center" wrapText="1"/>
    </xf>
    <xf numFmtId="0" fontId="16" fillId="0" borderId="0" xfId="0" applyFont="1" applyFill="1" applyAlignment="1">
      <alignment vertical="center"/>
    </xf>
    <xf numFmtId="0" fontId="16" fillId="0" borderId="0" xfId="0" applyFont="1" applyFill="1" applyAlignment="1">
      <alignment horizontal="right" vertical="center"/>
    </xf>
    <xf numFmtId="0" fontId="60" fillId="0" borderId="5" xfId="0" applyFont="1" applyFill="1" applyBorder="1" applyAlignment="1">
      <alignment horizontal="center" vertical="center"/>
    </xf>
    <xf numFmtId="0" fontId="60" fillId="0" borderId="7" xfId="0" applyFont="1" applyFill="1" applyBorder="1" applyAlignment="1">
      <alignment horizontal="center" vertical="center" wrapText="1"/>
    </xf>
    <xf numFmtId="0" fontId="60" fillId="0" borderId="7" xfId="0" applyFont="1" applyFill="1" applyBorder="1" applyAlignment="1">
      <alignment horizontal="center" vertical="center"/>
    </xf>
    <xf numFmtId="0" fontId="60" fillId="0" borderId="6" xfId="0" applyFont="1" applyFill="1" applyBorder="1" applyAlignment="1">
      <alignment horizontal="center" vertical="center"/>
    </xf>
    <xf numFmtId="0" fontId="61" fillId="0" borderId="1" xfId="0" applyFont="1" applyFill="1" applyBorder="1" applyAlignment="1">
      <alignment horizontal="center" vertical="center"/>
    </xf>
    <xf numFmtId="0" fontId="40" fillId="0" borderId="5" xfId="0" applyFont="1" applyFill="1" applyBorder="1" applyAlignment="1">
      <alignment horizontal="center" vertical="center" wrapText="1"/>
    </xf>
    <xf numFmtId="0" fontId="40" fillId="0" borderId="7" xfId="0" applyFont="1" applyFill="1" applyBorder="1" applyAlignment="1">
      <alignment horizontal="center" vertical="center"/>
    </xf>
    <xf numFmtId="0" fontId="40" fillId="0" borderId="6" xfId="0" applyFont="1" applyFill="1" applyBorder="1" applyAlignment="1">
      <alignment horizontal="center" vertical="center"/>
    </xf>
    <xf numFmtId="177" fontId="40" fillId="0" borderId="1" xfId="0" applyNumberFormat="1" applyFont="1" applyFill="1" applyBorder="1" applyAlignment="1">
      <alignment horizontal="center" vertical="center"/>
    </xf>
    <xf numFmtId="0" fontId="10" fillId="0" borderId="1" xfId="0" applyFont="1" applyFill="1" applyBorder="1" applyAlignment="1">
      <alignment vertical="center"/>
    </xf>
    <xf numFmtId="0" fontId="62" fillId="0" borderId="1" xfId="0" applyFont="1" applyFill="1" applyBorder="1" applyAlignment="1">
      <alignment horizontal="center" vertical="center"/>
    </xf>
    <xf numFmtId="0" fontId="63" fillId="0" borderId="7" xfId="0" applyFont="1" applyFill="1" applyBorder="1" applyAlignment="1">
      <alignment horizontal="center" vertical="center"/>
    </xf>
    <xf numFmtId="0" fontId="63" fillId="0" borderId="6" xfId="0" applyFont="1" applyFill="1" applyBorder="1" applyAlignment="1">
      <alignment horizontal="center" vertical="center"/>
    </xf>
    <xf numFmtId="177" fontId="63" fillId="0" borderId="1" xfId="0" applyNumberFormat="1" applyFont="1" applyFill="1" applyBorder="1" applyAlignment="1">
      <alignment vertical="center"/>
    </xf>
    <xf numFmtId="0" fontId="61" fillId="0" borderId="5" xfId="0" applyFont="1" applyFill="1" applyBorder="1" applyAlignment="1">
      <alignment horizontal="left" vertical="center" wrapText="1"/>
    </xf>
    <xf numFmtId="0" fontId="62" fillId="0" borderId="7" xfId="0" applyFont="1" applyFill="1" applyBorder="1" applyAlignment="1">
      <alignment horizontal="left" vertical="center"/>
    </xf>
    <xf numFmtId="0" fontId="62" fillId="0" borderId="6" xfId="0" applyFont="1" applyFill="1" applyBorder="1" applyAlignment="1">
      <alignment horizontal="left" vertical="center"/>
    </xf>
    <xf numFmtId="177" fontId="62" fillId="0" borderId="1" xfId="0" applyNumberFormat="1" applyFont="1" applyFill="1" applyBorder="1" applyAlignment="1">
      <alignment vertical="center"/>
    </xf>
    <xf numFmtId="0" fontId="63" fillId="0" borderId="1" xfId="0" applyFont="1" applyFill="1" applyBorder="1" applyAlignment="1">
      <alignment horizontal="center" vertical="center"/>
    </xf>
    <xf numFmtId="0" fontId="63" fillId="0" borderId="1" xfId="0" applyFont="1" applyFill="1" applyBorder="1" applyAlignment="1">
      <alignment horizontal="center" vertical="center" wrapText="1"/>
    </xf>
    <xf numFmtId="177" fontId="63" fillId="0" borderId="1" xfId="0" applyNumberFormat="1" applyFont="1" applyFill="1" applyBorder="1" applyAlignment="1">
      <alignment horizontal="center" vertical="center"/>
    </xf>
    <xf numFmtId="0" fontId="40" fillId="0" borderId="1" xfId="0" applyFont="1" applyFill="1" applyBorder="1" applyAlignment="1">
      <alignment horizontal="center" vertical="center" wrapText="1"/>
    </xf>
    <xf numFmtId="0" fontId="62" fillId="0" borderId="1" xfId="0" applyFont="1" applyFill="1" applyBorder="1" applyAlignment="1">
      <alignment vertical="center"/>
    </xf>
    <xf numFmtId="0" fontId="61" fillId="0" borderId="1" xfId="0" applyFont="1" applyFill="1" applyBorder="1" applyAlignment="1">
      <alignment horizontal="left" vertical="center" wrapText="1"/>
    </xf>
    <xf numFmtId="0" fontId="61" fillId="0" borderId="1" xfId="0" applyFont="1" applyFill="1" applyBorder="1" applyAlignment="1">
      <alignment horizontal="left" vertical="center"/>
    </xf>
    <xf numFmtId="0" fontId="62" fillId="0" borderId="5" xfId="0" applyFont="1" applyFill="1" applyBorder="1" applyAlignment="1">
      <alignment horizontal="center" vertical="center"/>
    </xf>
    <xf numFmtId="177" fontId="62" fillId="0" borderId="7" xfId="0" applyNumberFormat="1" applyFont="1" applyFill="1" applyBorder="1" applyAlignment="1">
      <alignment vertical="center"/>
    </xf>
    <xf numFmtId="49" fontId="63" fillId="0" borderId="1" xfId="56" applyNumberFormat="1" applyFont="1" applyFill="1" applyBorder="1" applyAlignment="1">
      <alignment horizontal="center" vertical="center" wrapText="1"/>
    </xf>
    <xf numFmtId="180" fontId="63" fillId="0" borderId="1" xfId="56" applyNumberFormat="1" applyFont="1" applyFill="1" applyBorder="1" applyAlignment="1">
      <alignment horizontal="center" vertical="center" wrapText="1"/>
    </xf>
    <xf numFmtId="177" fontId="63" fillId="0" borderId="1" xfId="56" applyNumberFormat="1" applyFont="1" applyFill="1" applyBorder="1" applyAlignment="1">
      <alignment horizontal="center" vertical="center" wrapText="1"/>
    </xf>
    <xf numFmtId="0" fontId="63" fillId="0" borderId="1" xfId="56" applyFont="1" applyFill="1" applyBorder="1" applyAlignment="1">
      <alignment horizontal="center" vertical="center" wrapText="1"/>
    </xf>
    <xf numFmtId="49" fontId="63" fillId="0" borderId="5" xfId="56" applyNumberFormat="1" applyFont="1" applyFill="1" applyBorder="1" applyAlignment="1">
      <alignment horizontal="center" vertical="center" wrapText="1"/>
    </xf>
    <xf numFmtId="49" fontId="63" fillId="0" borderId="7" xfId="56" applyNumberFormat="1" applyFont="1" applyFill="1" applyBorder="1" applyAlignment="1">
      <alignment horizontal="center" vertical="center" wrapText="1"/>
    </xf>
    <xf numFmtId="49" fontId="63" fillId="0" borderId="6" xfId="56" applyNumberFormat="1" applyFont="1" applyFill="1" applyBorder="1" applyAlignment="1">
      <alignment horizontal="center" vertical="center" wrapText="1"/>
    </xf>
    <xf numFmtId="177" fontId="63" fillId="0" borderId="1" xfId="56" applyNumberFormat="1" applyFont="1" applyFill="1" applyBorder="1" applyAlignment="1">
      <alignment horizontal="right" vertical="center"/>
    </xf>
    <xf numFmtId="0" fontId="62" fillId="0" borderId="1" xfId="56" applyFont="1" applyFill="1" applyBorder="1" applyAlignment="1">
      <alignment horizontal="center" vertical="center" wrapText="1"/>
    </xf>
    <xf numFmtId="180" fontId="62" fillId="0" borderId="1" xfId="56" applyNumberFormat="1" applyFont="1" applyFill="1" applyBorder="1" applyAlignment="1">
      <alignment horizontal="center" vertical="center" wrapText="1"/>
    </xf>
    <xf numFmtId="177" fontId="62" fillId="0" borderId="1" xfId="56" applyNumberFormat="1" applyFont="1" applyFill="1" applyBorder="1" applyAlignment="1">
      <alignment horizontal="right" vertical="center"/>
    </xf>
    <xf numFmtId="180" fontId="62" fillId="0" borderId="0" xfId="56" applyNumberFormat="1" applyFont="1" applyFill="1" applyBorder="1" applyAlignment="1">
      <alignment horizontal="center" vertical="center" wrapText="1"/>
    </xf>
    <xf numFmtId="178" fontId="51" fillId="0" borderId="0" xfId="1" applyNumberFormat="1" applyFont="1" applyFill="1" applyBorder="1" applyAlignment="1" applyProtection="1"/>
    <xf numFmtId="178" fontId="51" fillId="0" borderId="0" xfId="1" applyNumberFormat="1" applyFont="1" applyFill="1" applyBorder="1" applyAlignment="1" applyProtection="1">
      <alignment horizontal="right" wrapText="1"/>
    </xf>
    <xf numFmtId="178" fontId="51" fillId="0" borderId="0" xfId="1" applyNumberFormat="1" applyFont="1" applyFill="1" applyAlignment="1" applyProtection="1">
      <alignment horizontal="right" wrapText="1"/>
    </xf>
    <xf numFmtId="181" fontId="51" fillId="0" borderId="0" xfId="51" applyNumberFormat="1" applyAlignment="1">
      <alignment wrapText="1"/>
    </xf>
    <xf numFmtId="178" fontId="16" fillId="0" borderId="0" xfId="1" applyNumberFormat="1" applyFont="1" applyFill="1" applyBorder="1" applyAlignment="1" applyProtection="1">
      <alignment vertical="center"/>
    </xf>
    <xf numFmtId="178" fontId="16" fillId="0" borderId="0" xfId="1" applyNumberFormat="1" applyFont="1" applyFill="1" applyBorder="1" applyAlignment="1" applyProtection="1">
      <alignment horizontal="right" vertical="center" wrapText="1"/>
    </xf>
    <xf numFmtId="178" fontId="16" fillId="0" borderId="0" xfId="1" applyNumberFormat="1" applyFont="1" applyFill="1" applyAlignment="1" applyProtection="1">
      <alignment horizontal="right" vertical="center" wrapText="1"/>
    </xf>
    <xf numFmtId="178" fontId="35" fillId="0" borderId="0" xfId="1" applyNumberFormat="1" applyFont="1" applyFill="1" applyBorder="1" applyAlignment="1" applyProtection="1">
      <alignment horizontal="center" vertical="center"/>
    </xf>
    <xf numFmtId="178" fontId="35" fillId="0" borderId="0" xfId="1" applyNumberFormat="1" applyFont="1" applyFill="1" applyBorder="1" applyAlignment="1" applyProtection="1">
      <alignment horizontal="right" vertical="center" wrapText="1"/>
    </xf>
    <xf numFmtId="178" fontId="35" fillId="0" borderId="0" xfId="1" applyNumberFormat="1" applyFont="1" applyFill="1" applyAlignment="1" applyProtection="1">
      <alignment horizontal="right" vertical="center" wrapText="1"/>
    </xf>
    <xf numFmtId="178" fontId="39" fillId="0" borderId="1" xfId="1" applyNumberFormat="1" applyFont="1" applyFill="1" applyBorder="1" applyAlignment="1" applyProtection="1">
      <alignment horizontal="center" vertical="center"/>
    </xf>
    <xf numFmtId="178" fontId="45" fillId="0" borderId="1" xfId="1" applyNumberFormat="1" applyFont="1" applyFill="1" applyBorder="1" applyAlignment="1" applyProtection="1">
      <alignment vertical="center"/>
    </xf>
    <xf numFmtId="178" fontId="45" fillId="0" borderId="1" xfId="1" applyNumberFormat="1" applyFont="1" applyFill="1" applyBorder="1" applyAlignment="1" applyProtection="1">
      <alignment horizontal="right" vertical="center" wrapText="1"/>
    </xf>
    <xf numFmtId="181" fontId="45" fillId="0" borderId="1" xfId="51" applyNumberFormat="1" applyFont="1" applyFill="1" applyBorder="1" applyAlignment="1">
      <alignment vertical="center" wrapText="1"/>
    </xf>
    <xf numFmtId="181" fontId="45" fillId="0" borderId="1" xfId="68" applyNumberFormat="1" applyFont="1" applyFill="1" applyBorder="1" applyAlignment="1">
      <alignment horizontal="right" vertical="center"/>
    </xf>
    <xf numFmtId="181" fontId="45" fillId="0" borderId="1" xfId="51" applyNumberFormat="1" applyFont="1" applyBorder="1" applyAlignment="1">
      <alignment vertical="center" wrapText="1"/>
    </xf>
    <xf numFmtId="178" fontId="47" fillId="0" borderId="1" xfId="1" applyNumberFormat="1" applyFont="1" applyFill="1" applyBorder="1" applyAlignment="1" applyProtection="1">
      <alignment vertical="center"/>
    </xf>
    <xf numFmtId="178" fontId="47" fillId="0" borderId="1" xfId="1" applyNumberFormat="1" applyFont="1" applyFill="1" applyBorder="1" applyAlignment="1" applyProtection="1">
      <alignment horizontal="right" vertical="center" wrapText="1"/>
    </xf>
    <xf numFmtId="181" fontId="47" fillId="0" borderId="1" xfId="68" applyNumberFormat="1" applyFont="1" applyFill="1" applyBorder="1" applyAlignment="1">
      <alignment horizontal="right" vertical="center"/>
    </xf>
    <xf numFmtId="181" fontId="47" fillId="0" borderId="1" xfId="51" applyNumberFormat="1" applyFont="1" applyBorder="1" applyAlignment="1">
      <alignment vertical="center" wrapText="1"/>
    </xf>
    <xf numFmtId="0" fontId="47" fillId="0" borderId="1" xfId="51" applyFont="1" applyBorder="1" applyAlignment="1">
      <alignment vertical="center" wrapText="1"/>
    </xf>
    <xf numFmtId="0" fontId="64" fillId="0" borderId="0" xfId="67" applyFont="1" applyFill="1" applyAlignment="1"/>
    <xf numFmtId="178" fontId="64" fillId="0" borderId="0" xfId="67" applyNumberFormat="1" applyFont="1" applyFill="1" applyAlignment="1"/>
    <xf numFmtId="10" fontId="64" fillId="0" borderId="0" xfId="67" applyNumberFormat="1" applyFont="1" applyFill="1" applyAlignment="1"/>
    <xf numFmtId="0" fontId="65" fillId="0" borderId="0" xfId="67" applyFont="1" applyFill="1" applyAlignment="1">
      <alignment horizontal="center" vertical="center" wrapText="1"/>
    </xf>
    <xf numFmtId="0" fontId="65" fillId="0" borderId="0" xfId="67" applyFont="1" applyFill="1" applyAlignment="1">
      <alignment horizontal="center" vertical="center"/>
    </xf>
    <xf numFmtId="10" fontId="65" fillId="0" borderId="0" xfId="67" applyNumberFormat="1" applyFont="1" applyFill="1" applyAlignment="1">
      <alignment horizontal="center" vertical="center"/>
    </xf>
    <xf numFmtId="0" fontId="66" fillId="0" borderId="0" xfId="67" applyFont="1" applyFill="1" applyAlignment="1">
      <alignment wrapText="1"/>
    </xf>
    <xf numFmtId="178" fontId="39" fillId="0" borderId="1" xfId="54" applyNumberFormat="1" applyFont="1" applyFill="1" applyBorder="1" applyAlignment="1">
      <alignment horizontal="center" vertical="center" wrapText="1"/>
    </xf>
    <xf numFmtId="10" fontId="39" fillId="0" borderId="1" xfId="0" applyNumberFormat="1" applyFont="1" applyFill="1" applyBorder="1" applyAlignment="1">
      <alignment horizontal="center" vertical="center" wrapText="1"/>
    </xf>
    <xf numFmtId="178" fontId="47" fillId="4" borderId="1" xfId="67" applyNumberFormat="1" applyFont="1" applyFill="1" applyBorder="1" applyAlignment="1">
      <alignment horizontal="right" vertical="center"/>
    </xf>
    <xf numFmtId="10" fontId="45" fillId="4" borderId="1" xfId="3" applyNumberFormat="1" applyFont="1" applyFill="1" applyBorder="1" applyAlignment="1" applyProtection="1">
      <alignment horizontal="right" vertical="center"/>
    </xf>
    <xf numFmtId="178" fontId="47" fillId="7" borderId="1" xfId="67" applyNumberFormat="1" applyFont="1" applyFill="1" applyBorder="1" applyAlignment="1">
      <alignment horizontal="right" vertical="center"/>
    </xf>
    <xf numFmtId="3" fontId="47" fillId="7" borderId="1" xfId="67" applyNumberFormat="1" applyFont="1" applyFill="1" applyBorder="1" applyAlignment="1">
      <alignment horizontal="right" vertical="center"/>
    </xf>
    <xf numFmtId="10" fontId="47" fillId="5" borderId="1" xfId="3" applyNumberFormat="1" applyFont="1" applyFill="1" applyBorder="1" applyAlignment="1" applyProtection="1">
      <alignment horizontal="right" vertical="center"/>
    </xf>
    <xf numFmtId="178" fontId="47" fillId="0" borderId="1" xfId="67" applyNumberFormat="1" applyFont="1" applyFill="1" applyBorder="1" applyAlignment="1">
      <alignment horizontal="right" vertical="center"/>
    </xf>
    <xf numFmtId="0" fontId="47" fillId="0" borderId="1" xfId="67" applyFont="1" applyFill="1" applyBorder="1" applyAlignment="1"/>
    <xf numFmtId="10" fontId="47" fillId="0" borderId="1" xfId="3" applyNumberFormat="1" applyFont="1" applyFill="1" applyBorder="1" applyAlignment="1" applyProtection="1">
      <alignment horizontal="right" vertical="center"/>
    </xf>
    <xf numFmtId="41" fontId="47" fillId="0" borderId="1" xfId="3" applyNumberFormat="1" applyFont="1" applyFill="1" applyBorder="1" applyAlignment="1" applyProtection="1">
      <alignment horizontal="right" vertical="center"/>
    </xf>
    <xf numFmtId="41" fontId="47" fillId="5" borderId="1" xfId="3" applyNumberFormat="1" applyFont="1" applyFill="1" applyBorder="1" applyAlignment="1" applyProtection="1">
      <alignment horizontal="right" vertical="center"/>
    </xf>
    <xf numFmtId="3" fontId="47" fillId="4" borderId="1" xfId="67" applyNumberFormat="1" applyFont="1" applyFill="1" applyBorder="1" applyAlignment="1">
      <alignment horizontal="left" vertical="center" wrapText="1"/>
    </xf>
    <xf numFmtId="0" fontId="67" fillId="0" borderId="1" xfId="67" applyNumberFormat="1" applyFont="1" applyFill="1" applyBorder="1" applyAlignment="1">
      <alignment horizontal="left" vertical="center" wrapText="1"/>
    </xf>
    <xf numFmtId="178" fontId="47" fillId="5" borderId="1" xfId="67" applyNumberFormat="1" applyFont="1" applyFill="1" applyBorder="1" applyAlignment="1">
      <alignment horizontal="right" vertical="center"/>
    </xf>
    <xf numFmtId="178" fontId="16" fillId="0" borderId="1" xfId="67" applyNumberFormat="1" applyFont="1" applyFill="1" applyBorder="1" applyAlignment="1">
      <alignment horizontal="right" vertical="center"/>
    </xf>
    <xf numFmtId="3" fontId="16" fillId="0" borderId="1" xfId="67" applyNumberFormat="1" applyFont="1" applyFill="1" applyBorder="1" applyAlignment="1">
      <alignment horizontal="right" vertical="center"/>
    </xf>
    <xf numFmtId="41" fontId="45" fillId="4" borderId="1" xfId="3" applyNumberFormat="1" applyFont="1" applyFill="1" applyBorder="1" applyAlignment="1" applyProtection="1">
      <alignment horizontal="right" vertical="center"/>
    </xf>
    <xf numFmtId="0" fontId="47" fillId="4" borderId="1" xfId="67" applyNumberFormat="1" applyFont="1" applyFill="1" applyBorder="1" applyAlignment="1">
      <alignment horizontal="left" vertical="center" wrapText="1"/>
    </xf>
    <xf numFmtId="0" fontId="47" fillId="7" borderId="1" xfId="67" applyFont="1" applyFill="1" applyBorder="1" applyAlignment="1">
      <alignment horizontal="left" vertical="center"/>
    </xf>
    <xf numFmtId="0" fontId="47" fillId="5" borderId="1" xfId="67" applyFont="1" applyFill="1" applyBorder="1" applyAlignment="1">
      <alignment horizontal="left" vertical="center"/>
    </xf>
    <xf numFmtId="178" fontId="47" fillId="4" borderId="1" xfId="67" applyNumberFormat="1" applyFont="1" applyFill="1" applyBorder="1" applyAlignment="1"/>
    <xf numFmtId="0" fontId="47" fillId="4" borderId="1" xfId="67" applyFont="1" applyFill="1" applyBorder="1" applyAlignment="1"/>
    <xf numFmtId="10" fontId="47" fillId="4" borderId="1" xfId="67" applyNumberFormat="1" applyFont="1" applyFill="1" applyBorder="1" applyAlignment="1">
      <alignment horizontal="left" vertical="center"/>
    </xf>
    <xf numFmtId="178" fontId="47" fillId="7" borderId="1" xfId="67" applyNumberFormat="1" applyFont="1" applyFill="1" applyBorder="1" applyAlignment="1"/>
    <xf numFmtId="0" fontId="47" fillId="7" borderId="1" xfId="67" applyFont="1" applyFill="1" applyBorder="1" applyAlignment="1"/>
    <xf numFmtId="178" fontId="47" fillId="0" borderId="1" xfId="67" applyNumberFormat="1" applyFont="1" applyFill="1" applyBorder="1" applyAlignment="1"/>
    <xf numFmtId="0" fontId="20" fillId="6" borderId="1" xfId="67" applyFont="1" applyFill="1" applyBorder="1" applyAlignment="1"/>
    <xf numFmtId="178" fontId="45" fillId="6" borderId="1" xfId="67" applyNumberFormat="1" applyFont="1" applyFill="1" applyBorder="1" applyAlignment="1">
      <alignment horizontal="right" vertical="center"/>
    </xf>
    <xf numFmtId="10" fontId="45" fillId="6" borderId="1" xfId="3" applyNumberFormat="1" applyFont="1" applyFill="1" applyBorder="1" applyAlignment="1" applyProtection="1">
      <alignment horizontal="right" vertical="center"/>
    </xf>
    <xf numFmtId="178" fontId="16" fillId="4" borderId="1" xfId="54" applyNumberFormat="1" applyFont="1" applyFill="1" applyBorder="1" applyAlignment="1">
      <alignment vertical="center"/>
    </xf>
    <xf numFmtId="3" fontId="16" fillId="4" borderId="1" xfId="54" applyNumberFormat="1" applyFont="1" applyFill="1" applyBorder="1" applyAlignment="1">
      <alignment vertical="center"/>
    </xf>
    <xf numFmtId="3" fontId="39" fillId="4" borderId="1" xfId="56" applyNumberFormat="1" applyFont="1" applyFill="1" applyBorder="1" applyAlignment="1">
      <alignment horizontal="right" vertical="center"/>
    </xf>
    <xf numFmtId="0" fontId="16" fillId="4" borderId="1" xfId="54" applyNumberFormat="1" applyFont="1" applyFill="1" applyBorder="1" applyAlignment="1">
      <alignment vertical="center" wrapText="1"/>
    </xf>
    <xf numFmtId="178" fontId="16" fillId="5" borderId="1" xfId="54" applyNumberFormat="1" applyFont="1" applyFill="1" applyBorder="1" applyAlignment="1">
      <alignment vertical="center"/>
    </xf>
    <xf numFmtId="3" fontId="16" fillId="5" borderId="1" xfId="54" applyNumberFormat="1" applyFont="1" applyFill="1" applyBorder="1" applyAlignment="1">
      <alignment vertical="center"/>
    </xf>
    <xf numFmtId="178" fontId="16" fillId="0" borderId="1" xfId="54" applyNumberFormat="1" applyFont="1" applyFill="1" applyBorder="1" applyAlignment="1">
      <alignment vertical="center"/>
    </xf>
    <xf numFmtId="3" fontId="16" fillId="0" borderId="1" xfId="54" applyNumberFormat="1" applyFont="1" applyFill="1" applyBorder="1" applyAlignment="1">
      <alignment vertical="center"/>
    </xf>
    <xf numFmtId="3" fontId="47" fillId="0" borderId="0" xfId="67" applyNumberFormat="1" applyFont="1" applyFill="1" applyAlignment="1"/>
    <xf numFmtId="178" fontId="55" fillId="0" borderId="0" xfId="1" applyNumberFormat="1" applyFont="1" applyFill="1" applyBorder="1" applyAlignment="1" applyProtection="1"/>
    <xf numFmtId="178" fontId="55" fillId="0" borderId="0" xfId="52" applyNumberFormat="1" applyFont="1" applyAlignment="1">
      <alignment wrapText="1"/>
    </xf>
    <xf numFmtId="10" fontId="55" fillId="0" borderId="0" xfId="52" applyNumberFormat="1" applyFont="1" applyAlignment="1">
      <alignment wrapText="1"/>
    </xf>
    <xf numFmtId="0" fontId="61" fillId="0" borderId="0" xfId="52" applyFont="1" applyAlignment="1">
      <alignment vertical="center"/>
    </xf>
    <xf numFmtId="178" fontId="16" fillId="0" borderId="0" xfId="1" applyNumberFormat="1" applyFont="1" applyFill="1" applyBorder="1" applyAlignment="1" applyProtection="1"/>
    <xf numFmtId="178" fontId="16" fillId="0" borderId="0" xfId="52" applyNumberFormat="1" applyFont="1" applyAlignment="1">
      <alignment wrapText="1"/>
    </xf>
    <xf numFmtId="178" fontId="31" fillId="0" borderId="0" xfId="1" applyNumberFormat="1" applyFont="1" applyFill="1" applyBorder="1" applyAlignment="1" applyProtection="1">
      <alignment horizontal="center" vertical="center"/>
    </xf>
    <xf numFmtId="178" fontId="31" fillId="0" borderId="0" xfId="52" applyNumberFormat="1" applyFont="1" applyAlignment="1">
      <alignment horizontal="center" vertical="center" wrapText="1"/>
    </xf>
    <xf numFmtId="10" fontId="31" fillId="0" borderId="0" xfId="52" applyNumberFormat="1" applyFont="1" applyAlignment="1">
      <alignment horizontal="center" vertical="center" wrapText="1"/>
    </xf>
    <xf numFmtId="0" fontId="68" fillId="0" borderId="0" xfId="52" applyFont="1" applyAlignment="1"/>
    <xf numFmtId="178" fontId="68" fillId="0" borderId="0" xfId="1" applyNumberFormat="1" applyFont="1" applyFill="1" applyBorder="1" applyAlignment="1" applyProtection="1"/>
    <xf numFmtId="178" fontId="68" fillId="0" borderId="0" xfId="52" applyNumberFormat="1" applyFont="1" applyAlignment="1">
      <alignment wrapText="1"/>
    </xf>
    <xf numFmtId="0" fontId="68" fillId="0" borderId="0" xfId="52" applyFont="1" applyAlignment="1">
      <alignment wrapText="1"/>
    </xf>
    <xf numFmtId="0" fontId="58" fillId="0" borderId="3" xfId="52" applyFont="1" applyBorder="1" applyAlignment="1">
      <alignment horizontal="right"/>
    </xf>
    <xf numFmtId="0" fontId="57" fillId="0" borderId="1" xfId="52" applyFont="1" applyBorder="1" applyAlignment="1">
      <alignment horizontal="center" vertical="center" wrapText="1"/>
    </xf>
    <xf numFmtId="178" fontId="57" fillId="0" borderId="1" xfId="1" applyNumberFormat="1" applyFont="1" applyFill="1" applyBorder="1" applyAlignment="1" applyProtection="1">
      <alignment horizontal="center" vertical="center" wrapText="1"/>
    </xf>
    <xf numFmtId="178" fontId="57" fillId="0" borderId="1" xfId="52" applyNumberFormat="1" applyFont="1" applyBorder="1" applyAlignment="1">
      <alignment horizontal="center" vertical="center" wrapText="1"/>
    </xf>
    <xf numFmtId="10" fontId="57" fillId="0" borderId="1" xfId="0" applyNumberFormat="1" applyFont="1" applyFill="1" applyBorder="1" applyAlignment="1">
      <alignment horizontal="center" vertical="center" wrapText="1"/>
    </xf>
    <xf numFmtId="0" fontId="57" fillId="0" borderId="1" xfId="0" applyFont="1" applyBorder="1" applyAlignment="1">
      <alignment horizontal="centerContinuous" vertical="center" wrapText="1"/>
    </xf>
    <xf numFmtId="0" fontId="57" fillId="0" borderId="1" xfId="52" applyFont="1" applyBorder="1" applyAlignment="1">
      <alignment vertical="center"/>
    </xf>
    <xf numFmtId="178" fontId="57" fillId="0" borderId="1" xfId="1" applyNumberFormat="1" applyFont="1" applyFill="1" applyBorder="1" applyAlignment="1" applyProtection="1">
      <alignment vertical="center"/>
    </xf>
    <xf numFmtId="178" fontId="57" fillId="0" borderId="1" xfId="1" applyNumberFormat="1" applyFont="1" applyFill="1" applyBorder="1" applyAlignment="1" applyProtection="1">
      <alignment vertical="center" wrapText="1"/>
    </xf>
    <xf numFmtId="10" fontId="57" fillId="0" borderId="1" xfId="52" applyNumberFormat="1" applyFont="1" applyBorder="1" applyAlignment="1">
      <alignment horizontal="right" vertical="center" wrapText="1"/>
    </xf>
    <xf numFmtId="178" fontId="58" fillId="0" borderId="1" xfId="1" applyNumberFormat="1" applyFont="1" applyFill="1" applyBorder="1" applyAlignment="1" applyProtection="1">
      <alignment horizontal="right" vertical="center"/>
    </xf>
    <xf numFmtId="10" fontId="58" fillId="0" borderId="1" xfId="52" applyNumberFormat="1" applyFont="1" applyBorder="1" applyAlignment="1">
      <alignment horizontal="right" vertical="center" wrapText="1"/>
    </xf>
    <xf numFmtId="0" fontId="69" fillId="0" borderId="1" xfId="52" applyFont="1" applyBorder="1" applyAlignment="1">
      <alignment vertical="center" wrapText="1"/>
    </xf>
    <xf numFmtId="178" fontId="69" fillId="0" borderId="1" xfId="1" applyNumberFormat="1" applyFont="1" applyFill="1" applyBorder="1" applyAlignment="1" applyProtection="1">
      <alignment vertical="center" wrapText="1"/>
    </xf>
    <xf numFmtId="0" fontId="58" fillId="0" borderId="1" xfId="0" applyFont="1" applyBorder="1" applyAlignment="1">
      <alignment vertical="center"/>
    </xf>
    <xf numFmtId="178" fontId="58" fillId="0" borderId="1" xfId="1" applyNumberFormat="1" applyFont="1" applyBorder="1" applyAlignment="1">
      <alignment vertical="center"/>
    </xf>
    <xf numFmtId="178" fontId="58" fillId="0" borderId="1" xfId="1" applyNumberFormat="1" applyFont="1" applyBorder="1" applyAlignment="1">
      <alignment vertical="center" wrapText="1"/>
    </xf>
    <xf numFmtId="178" fontId="58" fillId="0" borderId="1" xfId="1" applyNumberFormat="1" applyFont="1" applyBorder="1" applyAlignment="1">
      <alignment horizontal="right" vertical="center" wrapText="1"/>
    </xf>
    <xf numFmtId="178" fontId="58" fillId="0" borderId="1" xfId="0" applyNumberFormat="1" applyFont="1" applyBorder="1" applyAlignment="1">
      <alignment horizontal="right" vertical="center" wrapText="1"/>
    </xf>
    <xf numFmtId="0" fontId="58" fillId="0" borderId="1" xfId="52" applyNumberFormat="1" applyFont="1" applyBorder="1" applyAlignment="1">
      <alignment vertical="center" wrapText="1"/>
    </xf>
    <xf numFmtId="178" fontId="58" fillId="0" borderId="1" xfId="1" applyNumberFormat="1" applyFont="1" applyFill="1" applyBorder="1" applyAlignment="1">
      <alignment vertical="center" wrapText="1"/>
    </xf>
    <xf numFmtId="178" fontId="58" fillId="0" borderId="1" xfId="0" applyNumberFormat="1" applyFont="1" applyFill="1" applyBorder="1" applyAlignment="1">
      <alignment horizontal="right" vertical="center" wrapText="1"/>
    </xf>
    <xf numFmtId="0" fontId="58" fillId="0" borderId="1" xfId="52" applyFont="1" applyFill="1" applyBorder="1" applyAlignment="1">
      <alignment vertical="center"/>
    </xf>
    <xf numFmtId="0" fontId="57" fillId="0" borderId="1" xfId="0" applyFont="1" applyBorder="1" applyAlignment="1">
      <alignment vertical="center"/>
    </xf>
    <xf numFmtId="178" fontId="57" fillId="0" borderId="1" xfId="1" applyNumberFormat="1" applyFont="1" applyBorder="1" applyAlignment="1">
      <alignment vertical="center"/>
    </xf>
    <xf numFmtId="178" fontId="57" fillId="0" borderId="1" xfId="1" applyNumberFormat="1" applyFont="1" applyFill="1" applyBorder="1" applyAlignment="1">
      <alignment vertical="center" wrapText="1"/>
    </xf>
    <xf numFmtId="178" fontId="57" fillId="0" borderId="1" xfId="0" applyNumberFormat="1" applyFont="1" applyFill="1" applyBorder="1" applyAlignment="1">
      <alignment horizontal="right" vertical="center" wrapText="1"/>
    </xf>
    <xf numFmtId="178" fontId="55" fillId="0" borderId="0" xfId="52" applyNumberFormat="1" applyFont="1" applyFill="1" applyAlignment="1">
      <alignment wrapText="1"/>
    </xf>
    <xf numFmtId="0" fontId="55" fillId="0" borderId="0" xfId="52" applyFont="1" applyFill="1" applyAlignment="1">
      <alignment wrapText="1"/>
    </xf>
    <xf numFmtId="10" fontId="55" fillId="0" borderId="0" xfId="52" applyNumberFormat="1" applyFont="1" applyFill="1" applyAlignment="1">
      <alignment wrapText="1"/>
    </xf>
    <xf numFmtId="0" fontId="55" fillId="0" borderId="0" xfId="52" applyFont="1" applyFill="1" applyAlignment="1"/>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4年预算盘子安排表（第一稿）" xfId="49"/>
    <cellStyle name="常规 2 150" xfId="50"/>
    <cellStyle name="常规 7" xfId="51"/>
    <cellStyle name="常规 2" xfId="52"/>
    <cellStyle name="常规 5" xfId="53"/>
    <cellStyle name="常规 3" xfId="54"/>
    <cellStyle name="常规 2 2" xfId="55"/>
    <cellStyle name="常规 4" xfId="56"/>
    <cellStyle name="常规 11" xfId="57"/>
    <cellStyle name="常规 9" xfId="58"/>
    <cellStyle name="常规_Sheet1" xfId="59"/>
    <cellStyle name="常规 6 2" xfId="60"/>
    <cellStyle name="常规 10" xfId="61"/>
    <cellStyle name="常规 13" xfId="62"/>
    <cellStyle name="常规 4 8" xfId="63"/>
    <cellStyle name="常规 6" xfId="64"/>
    <cellStyle name="常规 3 2" xfId="65"/>
    <cellStyle name="常规 5 7" xfId="66"/>
    <cellStyle name="常规 12" xfId="67"/>
    <cellStyle name="常规 8" xfId="68"/>
  </cellStyles>
  <tableStyles count="0" defaultTableStyle="TableStyleMedium2" defaultPivotStyle="PivotStyleLight16"/>
  <colors>
    <mruColors>
      <color rgb="00FF0000"/>
      <color rgb="0092D050"/>
      <color rgb="00E6E6E6"/>
      <color rgb="00FFC000"/>
      <color rgb="00FFFF00"/>
      <color rgb="00A9D08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zoomScale="85" zoomScaleNormal="85" workbookViewId="0">
      <selection activeCell="B6" sqref="B6"/>
    </sheetView>
  </sheetViews>
  <sheetFormatPr defaultColWidth="14.875" defaultRowHeight="15.75" outlineLevelCol="5"/>
  <cols>
    <col min="1" max="1" width="29.75" style="372" customWidth="1"/>
    <col min="2" max="2" width="20.625" style="524"/>
    <col min="3" max="3" width="20.75" style="525" customWidth="1"/>
    <col min="4" max="4" width="16.625" style="373" customWidth="1"/>
    <col min="5" max="5" width="22.5" style="526" customWidth="1"/>
    <col min="6" max="6" width="17.5" style="372" hidden="1" customWidth="1"/>
    <col min="7" max="30" width="9" style="372" customWidth="1"/>
    <col min="31" max="222" width="14.875" style="372" customWidth="1"/>
    <col min="223" max="250" width="9" style="372" customWidth="1"/>
  </cols>
  <sheetData>
    <row r="1" s="372" customFormat="1" ht="29.1" customHeight="1" spans="1:6">
      <c r="A1" s="527" t="s">
        <v>0</v>
      </c>
      <c r="B1" s="528"/>
      <c r="C1" s="529"/>
      <c r="D1" s="373"/>
      <c r="E1" s="526"/>
    </row>
    <row r="2" s="372" customFormat="1" ht="33.95" customHeight="1" spans="1:6">
      <c r="A2" s="375" t="s">
        <v>1</v>
      </c>
      <c r="B2" s="530"/>
      <c r="C2" s="531"/>
      <c r="D2" s="376"/>
      <c r="E2" s="532"/>
      <c r="F2" s="375"/>
    </row>
    <row r="3" s="372" customFormat="1" ht="17.25" customHeight="1" spans="1:6">
      <c r="A3" s="533"/>
      <c r="B3" s="534"/>
      <c r="C3" s="535"/>
      <c r="D3" s="536"/>
      <c r="E3" s="537" t="s">
        <v>2</v>
      </c>
      <c r="F3" s="537" t="s">
        <v>2</v>
      </c>
    </row>
    <row r="4" s="372" customFormat="1" ht="42.75" customHeight="1" spans="1:6">
      <c r="A4" s="538" t="s">
        <v>3</v>
      </c>
      <c r="B4" s="539" t="s">
        <v>4</v>
      </c>
      <c r="C4" s="540" t="s">
        <v>5</v>
      </c>
      <c r="D4" s="538" t="s">
        <v>6</v>
      </c>
      <c r="E4" s="541" t="s">
        <v>7</v>
      </c>
      <c r="F4" s="542" t="s">
        <v>8</v>
      </c>
    </row>
    <row r="5" s="372" customFormat="1" ht="30" customHeight="1" spans="1:6">
      <c r="A5" s="543" t="s">
        <v>9</v>
      </c>
      <c r="B5" s="544">
        <v>2559000</v>
      </c>
      <c r="C5" s="545">
        <v>2559000</v>
      </c>
      <c r="D5" s="383">
        <f>SUM(D6:D15)</f>
        <v>2295200</v>
      </c>
      <c r="E5" s="546">
        <f>D5/C5-1</f>
        <v>-0.103087143415397</v>
      </c>
      <c r="F5" s="391"/>
    </row>
    <row r="6" s="372" customFormat="1" ht="30" customHeight="1" spans="1:6">
      <c r="A6" s="391" t="s">
        <v>10</v>
      </c>
      <c r="B6" s="547">
        <v>1022000</v>
      </c>
      <c r="C6" s="387">
        <v>1022000</v>
      </c>
      <c r="D6" s="387">
        <v>929012</v>
      </c>
      <c r="E6" s="548">
        <f t="shared" ref="E6:E30" si="0">D6/C6-1</f>
        <v>-0.090986301369863</v>
      </c>
      <c r="F6" s="391"/>
    </row>
    <row r="7" s="372" customFormat="1" ht="30" customHeight="1" spans="1:6">
      <c r="A7" s="391" t="s">
        <v>11</v>
      </c>
      <c r="B7" s="547">
        <v>298000</v>
      </c>
      <c r="C7" s="387">
        <v>298000</v>
      </c>
      <c r="D7" s="387">
        <v>247108</v>
      </c>
      <c r="E7" s="548">
        <f t="shared" si="0"/>
        <v>-0.170778523489933</v>
      </c>
      <c r="F7" s="391"/>
    </row>
    <row r="8" s="372" customFormat="1" ht="30" customHeight="1" spans="1:6">
      <c r="A8" s="391" t="s">
        <v>12</v>
      </c>
      <c r="B8" s="547">
        <v>407000</v>
      </c>
      <c r="C8" s="387">
        <v>407000</v>
      </c>
      <c r="D8" s="387">
        <v>416288</v>
      </c>
      <c r="E8" s="548">
        <f t="shared" si="0"/>
        <v>0.0228206388206389</v>
      </c>
      <c r="F8" s="391"/>
    </row>
    <row r="9" s="372" customFormat="1" ht="30" customHeight="1" spans="1:6">
      <c r="A9" s="391" t="s">
        <v>13</v>
      </c>
      <c r="B9" s="547">
        <v>65000</v>
      </c>
      <c r="C9" s="387">
        <v>65000</v>
      </c>
      <c r="D9" s="387">
        <v>41129</v>
      </c>
      <c r="E9" s="548">
        <f t="shared" si="0"/>
        <v>-0.367246153846154</v>
      </c>
      <c r="F9" s="391"/>
    </row>
    <row r="10" s="372" customFormat="1" ht="30" customHeight="1" spans="1:6">
      <c r="A10" s="391" t="s">
        <v>14</v>
      </c>
      <c r="B10" s="547">
        <v>294000</v>
      </c>
      <c r="C10" s="387">
        <v>294000</v>
      </c>
      <c r="D10" s="387">
        <v>255267</v>
      </c>
      <c r="E10" s="548">
        <f t="shared" si="0"/>
        <v>-0.131744897959184</v>
      </c>
      <c r="F10" s="391"/>
    </row>
    <row r="11" s="372" customFormat="1" ht="30" customHeight="1" spans="1:6">
      <c r="A11" s="391" t="s">
        <v>15</v>
      </c>
      <c r="B11" s="547">
        <v>169000</v>
      </c>
      <c r="C11" s="387">
        <v>169000</v>
      </c>
      <c r="D11" s="387">
        <v>137266</v>
      </c>
      <c r="E11" s="548">
        <f t="shared" si="0"/>
        <v>-0.187775147928994</v>
      </c>
      <c r="F11" s="391"/>
    </row>
    <row r="12" s="372" customFormat="1" ht="30" customHeight="1" spans="1:6">
      <c r="A12" s="391" t="s">
        <v>16</v>
      </c>
      <c r="B12" s="547">
        <v>240000</v>
      </c>
      <c r="C12" s="387">
        <v>240000</v>
      </c>
      <c r="D12" s="387">
        <v>220840</v>
      </c>
      <c r="E12" s="548">
        <f t="shared" si="0"/>
        <v>-0.0798333333333333</v>
      </c>
      <c r="F12" s="391"/>
    </row>
    <row r="13" s="372" customFormat="1" ht="30" customHeight="1" spans="1:6">
      <c r="A13" s="391" t="s">
        <v>17</v>
      </c>
      <c r="B13" s="547">
        <v>52000</v>
      </c>
      <c r="C13" s="387">
        <v>52000</v>
      </c>
      <c r="D13" s="387">
        <v>39981</v>
      </c>
      <c r="E13" s="548">
        <f t="shared" si="0"/>
        <v>-0.231134615384615</v>
      </c>
      <c r="F13" s="391"/>
    </row>
    <row r="14" s="372" customFormat="1" ht="30" customHeight="1" spans="1:6">
      <c r="A14" s="391" t="s">
        <v>18</v>
      </c>
      <c r="B14" s="547">
        <v>12000</v>
      </c>
      <c r="C14" s="387">
        <v>12000</v>
      </c>
      <c r="D14" s="387">
        <v>8169</v>
      </c>
      <c r="E14" s="548">
        <f t="shared" si="0"/>
        <v>-0.31925</v>
      </c>
      <c r="F14" s="391"/>
    </row>
    <row r="15" s="372" customFormat="1" ht="30" customHeight="1" spans="1:6">
      <c r="A15" s="391" t="s">
        <v>19</v>
      </c>
      <c r="B15" s="547"/>
      <c r="C15" s="387"/>
      <c r="D15" s="387">
        <v>140</v>
      </c>
      <c r="E15" s="548" t="s">
        <v>20</v>
      </c>
      <c r="F15" s="391"/>
    </row>
    <row r="16" s="372" customFormat="1" ht="30" customHeight="1" spans="1:6">
      <c r="A16" s="543" t="s">
        <v>21</v>
      </c>
      <c r="B16" s="544">
        <v>76000</v>
      </c>
      <c r="C16" s="545">
        <v>76000</v>
      </c>
      <c r="D16" s="383">
        <f>SUM(D17:D23)</f>
        <v>103671</v>
      </c>
      <c r="E16" s="546">
        <f t="shared" si="0"/>
        <v>0.364092105263158</v>
      </c>
      <c r="F16" s="391"/>
    </row>
    <row r="17" s="372" customFormat="1" ht="30" customHeight="1" spans="1:6">
      <c r="A17" s="549" t="s">
        <v>22</v>
      </c>
      <c r="B17" s="550">
        <v>100</v>
      </c>
      <c r="C17" s="550">
        <v>100</v>
      </c>
      <c r="D17" s="387">
        <v>168</v>
      </c>
      <c r="E17" s="548">
        <f t="shared" si="0"/>
        <v>0.68</v>
      </c>
      <c r="F17" s="391"/>
    </row>
    <row r="18" s="372" customFormat="1" ht="30" customHeight="1" spans="1:6">
      <c r="A18" s="549" t="s">
        <v>23</v>
      </c>
      <c r="B18" s="550">
        <v>8000</v>
      </c>
      <c r="C18" s="550">
        <v>8000</v>
      </c>
      <c r="D18" s="387">
        <v>13560</v>
      </c>
      <c r="E18" s="548">
        <f t="shared" si="0"/>
        <v>0.695</v>
      </c>
      <c r="F18" s="391"/>
    </row>
    <row r="19" s="372" customFormat="1" ht="30" customHeight="1" spans="1:6">
      <c r="A19" s="549" t="s">
        <v>24</v>
      </c>
      <c r="B19" s="550">
        <v>11000</v>
      </c>
      <c r="C19" s="550">
        <v>11000</v>
      </c>
      <c r="D19" s="387">
        <v>13868</v>
      </c>
      <c r="E19" s="548">
        <f t="shared" si="0"/>
        <v>0.260727272727273</v>
      </c>
      <c r="F19" s="391"/>
    </row>
    <row r="20" s="372" customFormat="1" ht="30" customHeight="1" spans="1:6">
      <c r="A20" s="549" t="s">
        <v>25</v>
      </c>
      <c r="B20" s="550"/>
      <c r="C20" s="550"/>
      <c r="D20" s="387">
        <v>1863</v>
      </c>
      <c r="E20" s="548" t="s">
        <v>20</v>
      </c>
      <c r="F20" s="391"/>
    </row>
    <row r="21" s="372" customFormat="1" ht="30" customHeight="1" spans="1:6">
      <c r="A21" s="549" t="s">
        <v>26</v>
      </c>
      <c r="B21" s="550">
        <v>2000</v>
      </c>
      <c r="C21" s="550">
        <v>2000</v>
      </c>
      <c r="D21" s="387">
        <v>4217</v>
      </c>
      <c r="E21" s="548">
        <f t="shared" si="0"/>
        <v>1.1085</v>
      </c>
      <c r="F21" s="391"/>
    </row>
    <row r="22" s="372" customFormat="1" ht="30" customHeight="1" spans="1:6">
      <c r="A22" s="549" t="s">
        <v>27</v>
      </c>
      <c r="B22" s="550">
        <v>15000</v>
      </c>
      <c r="C22" s="550">
        <v>15000</v>
      </c>
      <c r="D22" s="387">
        <v>15886</v>
      </c>
      <c r="E22" s="548">
        <f t="shared" si="0"/>
        <v>0.0590666666666666</v>
      </c>
      <c r="F22" s="391"/>
    </row>
    <row r="23" s="372" customFormat="1" ht="30" customHeight="1" spans="1:6">
      <c r="A23" s="549" t="s">
        <v>28</v>
      </c>
      <c r="B23" s="550">
        <v>39900</v>
      </c>
      <c r="C23" s="550">
        <v>39900</v>
      </c>
      <c r="D23" s="387">
        <v>54109</v>
      </c>
      <c r="E23" s="548">
        <f t="shared" si="0"/>
        <v>0.356115288220551</v>
      </c>
      <c r="F23" s="391"/>
    </row>
    <row r="24" s="372" customFormat="1" ht="30" customHeight="1" spans="1:6">
      <c r="A24" s="543" t="s">
        <v>29</v>
      </c>
      <c r="B24" s="544">
        <v>2635000</v>
      </c>
      <c r="C24" s="545">
        <v>2635000</v>
      </c>
      <c r="D24" s="383">
        <f>D5+D16</f>
        <v>2398871</v>
      </c>
      <c r="E24" s="546">
        <f t="shared" si="0"/>
        <v>-0.0896125237191651</v>
      </c>
      <c r="F24" s="391"/>
    </row>
    <row r="25" s="372" customFormat="1" ht="30" customHeight="1" spans="1:6">
      <c r="A25" s="551" t="s">
        <v>30</v>
      </c>
      <c r="B25" s="552">
        <v>63604</v>
      </c>
      <c r="C25" s="553">
        <v>63604</v>
      </c>
      <c r="D25" s="553">
        <v>63604</v>
      </c>
      <c r="E25" s="548" t="s">
        <v>20</v>
      </c>
      <c r="F25" s="391"/>
    </row>
    <row r="26" s="372" customFormat="1" ht="30" customHeight="1" spans="1:6">
      <c r="A26" s="551" t="s">
        <v>31</v>
      </c>
      <c r="B26" s="552">
        <v>938496</v>
      </c>
      <c r="C26" s="554">
        <v>888592</v>
      </c>
      <c r="D26" s="555">
        <v>1048169</v>
      </c>
      <c r="E26" s="548">
        <f t="shared" si="0"/>
        <v>0.179584106091434</v>
      </c>
      <c r="F26" s="556"/>
    </row>
    <row r="27" s="372" customFormat="1" ht="30" customHeight="1" spans="1:6">
      <c r="A27" s="551" t="s">
        <v>32</v>
      </c>
      <c r="B27" s="552">
        <v>880</v>
      </c>
      <c r="C27" s="557">
        <v>880</v>
      </c>
      <c r="D27" s="558">
        <v>880</v>
      </c>
      <c r="E27" s="548" t="s">
        <v>20</v>
      </c>
      <c r="F27" s="559"/>
    </row>
    <row r="28" s="372" customFormat="1" ht="30" customHeight="1" spans="1:6">
      <c r="A28" s="551" t="s">
        <v>33</v>
      </c>
      <c r="B28" s="552">
        <v>16300</v>
      </c>
      <c r="C28" s="557">
        <v>16300</v>
      </c>
      <c r="D28" s="558">
        <v>217490</v>
      </c>
      <c r="E28" s="548">
        <f t="shared" si="0"/>
        <v>12.3429447852761</v>
      </c>
      <c r="F28" s="559"/>
    </row>
    <row r="29" s="372" customFormat="1" ht="30" customHeight="1" spans="1:6">
      <c r="A29" s="551" t="s">
        <v>34</v>
      </c>
      <c r="B29" s="552">
        <v>427179</v>
      </c>
      <c r="C29" s="557">
        <v>427179</v>
      </c>
      <c r="D29" s="558">
        <v>427179</v>
      </c>
      <c r="E29" s="548" t="s">
        <v>20</v>
      </c>
      <c r="F29" s="559"/>
    </row>
    <row r="30" s="372" customFormat="1" ht="30" customHeight="1" spans="1:6">
      <c r="A30" s="560" t="s">
        <v>35</v>
      </c>
      <c r="B30" s="561">
        <v>4081459</v>
      </c>
      <c r="C30" s="562">
        <v>4031555</v>
      </c>
      <c r="D30" s="563">
        <f>SUM(D24:D29)</f>
        <v>4156193</v>
      </c>
      <c r="E30" s="546">
        <f t="shared" si="0"/>
        <v>0.0309156144465348</v>
      </c>
      <c r="F30" s="559"/>
    </row>
    <row r="31" spans="1:6">
      <c r="C31" s="564"/>
      <c r="D31" s="565"/>
      <c r="E31" s="566"/>
      <c r="F31" s="567"/>
    </row>
  </sheetData>
  <autoFilter xmlns:etc="http://www.wps.cn/officeDocument/2017/etCustomData" ref="A4:F30" etc:filterBottomFollowUsedRange="0">
    <extLst/>
  </autoFilter>
  <mergeCells count="1">
    <mergeCell ref="A2:F2"/>
  </mergeCells>
  <printOptions horizontalCentered="1"/>
  <pageMargins left="0.59" right="0.59" top="0.79" bottom="0.79" header="0.16" footer="0.51"/>
  <pageSetup paperSize="9" scale="75"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opLeftCell="A13" workbookViewId="0">
      <selection activeCell="J23" sqref="J23"/>
    </sheetView>
  </sheetViews>
  <sheetFormatPr defaultColWidth="9" defaultRowHeight="14.25"/>
  <cols>
    <col min="1" max="1" width="24.125" style="153" customWidth="1"/>
    <col min="2" max="2" width="15" style="153" customWidth="1"/>
    <col min="3" max="3" width="16.125" style="153" hidden="1" customWidth="1"/>
    <col min="4" max="4" width="14.5" style="153" customWidth="1"/>
    <col min="5" max="5" width="11.5" style="153" hidden="1" customWidth="1"/>
    <col min="6" max="6" width="13.375" style="153" hidden="1" customWidth="1"/>
    <col min="7" max="7" width="28.875" style="153" customWidth="1"/>
    <col min="8" max="8" width="14.5" style="153" customWidth="1"/>
    <col min="9" max="9" width="12.625" style="153" hidden="1" customWidth="1"/>
    <col min="10" max="10" width="16.25" style="153" customWidth="1"/>
    <col min="11" max="11" width="11.625" style="153"/>
    <col min="12" max="12" width="13.375" style="153" customWidth="1"/>
    <col min="13" max="16384" width="9" style="153"/>
  </cols>
  <sheetData>
    <row r="1" ht="22.5" customHeight="1" spans="1:13">
      <c r="A1" s="154" t="s">
        <v>1144</v>
      </c>
      <c r="B1"/>
      <c r="C1"/>
      <c r="D1"/>
      <c r="E1"/>
      <c r="F1"/>
      <c r="G1"/>
      <c r="H1"/>
      <c r="I1"/>
      <c r="J1"/>
      <c r="K1"/>
      <c r="L1"/>
      <c r="M1"/>
    </row>
    <row r="2" ht="31.5" customHeight="1" spans="1:13">
      <c r="A2" s="155" t="s">
        <v>1145</v>
      </c>
      <c r="B2" s="155"/>
      <c r="C2" s="155"/>
      <c r="D2" s="155"/>
      <c r="E2" s="155"/>
      <c r="F2" s="155"/>
      <c r="G2" s="155"/>
      <c r="H2" s="155"/>
      <c r="I2" s="155"/>
      <c r="J2" s="155"/>
      <c r="K2"/>
      <c r="L2"/>
      <c r="M2"/>
    </row>
    <row r="3" ht="18.75" customHeight="1" spans="1:13">
      <c r="A3" s="156"/>
      <c r="J3" s="157" t="s">
        <v>38</v>
      </c>
      <c r="K3"/>
      <c r="L3"/>
      <c r="M3"/>
    </row>
    <row r="4" ht="32.25" customHeight="1" spans="1:13">
      <c r="A4" s="158" t="s">
        <v>1146</v>
      </c>
      <c r="B4" s="158"/>
      <c r="C4" s="158"/>
      <c r="D4" s="158"/>
      <c r="E4" s="159"/>
      <c r="F4" s="159"/>
      <c r="G4" s="158" t="s">
        <v>1147</v>
      </c>
      <c r="H4" s="158"/>
      <c r="I4" s="158"/>
      <c r="J4" s="158"/>
      <c r="K4"/>
      <c r="L4"/>
      <c r="M4"/>
    </row>
    <row r="5" ht="40.5" customHeight="1" spans="1:13">
      <c r="A5" s="160" t="s">
        <v>1148</v>
      </c>
      <c r="B5" s="161" t="s">
        <v>1149</v>
      </c>
      <c r="C5" s="161"/>
      <c r="D5" s="162" t="s">
        <v>919</v>
      </c>
      <c r="E5" s="162"/>
      <c r="F5" s="162"/>
      <c r="G5" s="160" t="s">
        <v>1148</v>
      </c>
      <c r="H5" s="161" t="s">
        <v>1149</v>
      </c>
      <c r="I5" s="161"/>
      <c r="J5" s="162" t="s">
        <v>919</v>
      </c>
      <c r="K5"/>
      <c r="L5"/>
      <c r="M5"/>
    </row>
    <row r="6" ht="39.95" customHeight="1" spans="1:13">
      <c r="A6" s="163" t="s">
        <v>1150</v>
      </c>
      <c r="B6" s="164">
        <v>994901</v>
      </c>
      <c r="C6" s="165" t="s">
        <v>1151</v>
      </c>
      <c r="D6" s="164">
        <v>462029</v>
      </c>
      <c r="E6" s="166" t="s">
        <v>1152</v>
      </c>
      <c r="F6" s="166"/>
      <c r="G6" s="167" t="s">
        <v>1153</v>
      </c>
      <c r="H6" s="166">
        <f t="shared" ref="H6:H9" si="0">H7</f>
        <v>733</v>
      </c>
      <c r="I6" s="164"/>
      <c r="J6" s="166">
        <v>0</v>
      </c>
      <c r="L6" s="168"/>
      <c r="M6"/>
    </row>
    <row r="7" ht="54" customHeight="1" spans="1:13">
      <c r="A7" s="163" t="s">
        <v>1154</v>
      </c>
      <c r="B7" s="164">
        <v>10117</v>
      </c>
      <c r="C7" s="169" t="s">
        <v>1155</v>
      </c>
      <c r="D7" s="164">
        <f>8754-95.45</f>
        <v>8658.55</v>
      </c>
      <c r="E7" s="164" t="s">
        <v>1156</v>
      </c>
      <c r="F7" s="170" t="s">
        <v>1157</v>
      </c>
      <c r="G7" s="163" t="s">
        <v>1158</v>
      </c>
      <c r="H7" s="164">
        <f t="shared" si="0"/>
        <v>733</v>
      </c>
      <c r="I7" s="164"/>
      <c r="J7" s="164">
        <v>0</v>
      </c>
      <c r="K7"/>
      <c r="L7"/>
      <c r="M7"/>
    </row>
    <row r="8" ht="39.95" customHeight="1" spans="1:13">
      <c r="A8" s="163" t="s">
        <v>1159</v>
      </c>
      <c r="B8" s="164">
        <v>733</v>
      </c>
      <c r="C8" s="171"/>
      <c r="D8" s="164">
        <v>0</v>
      </c>
      <c r="E8" s="164" t="s">
        <v>1160</v>
      </c>
      <c r="F8" s="164"/>
      <c r="G8" s="163" t="s">
        <v>1161</v>
      </c>
      <c r="H8" s="164">
        <v>733</v>
      </c>
      <c r="I8" s="171"/>
      <c r="J8" s="164">
        <v>0</v>
      </c>
      <c r="K8"/>
      <c r="L8"/>
      <c r="M8"/>
    </row>
    <row r="9" ht="41.25" customHeight="1" spans="1:13">
      <c r="A9" s="163" t="s">
        <v>1162</v>
      </c>
      <c r="B9" s="164"/>
      <c r="C9" s="164"/>
      <c r="D9" s="164">
        <v>350</v>
      </c>
      <c r="E9" s="164" t="s">
        <v>1163</v>
      </c>
      <c r="F9" s="164"/>
      <c r="G9" s="167" t="s">
        <v>1164</v>
      </c>
      <c r="H9" s="166">
        <f t="shared" si="0"/>
        <v>1417354</v>
      </c>
      <c r="I9" s="166"/>
      <c r="J9" s="166">
        <f>J10</f>
        <v>903641</v>
      </c>
    </row>
    <row r="10" ht="33" spans="1:13">
      <c r="A10" s="172"/>
      <c r="B10" s="164"/>
      <c r="C10" s="164"/>
      <c r="D10" s="164"/>
      <c r="E10" s="173" t="s">
        <v>1165</v>
      </c>
      <c r="F10" s="173"/>
      <c r="G10" s="163" t="s">
        <v>1166</v>
      </c>
      <c r="H10" s="164">
        <f>SUM(H11:H13)</f>
        <v>1417354</v>
      </c>
      <c r="I10" s="164"/>
      <c r="J10" s="174">
        <f>903841-200</f>
        <v>903641</v>
      </c>
    </row>
    <row r="11" ht="35.25" customHeight="1" spans="1:13">
      <c r="A11" s="172"/>
      <c r="B11" s="164"/>
      <c r="C11" s="164"/>
      <c r="D11" s="164"/>
      <c r="E11" s="175" t="s">
        <v>1167</v>
      </c>
      <c r="F11" s="175"/>
      <c r="G11" s="163" t="s">
        <v>1168</v>
      </c>
      <c r="H11" s="164">
        <v>156001</v>
      </c>
      <c r="I11" s="164"/>
      <c r="J11" s="174">
        <v>118893</v>
      </c>
      <c r="K11"/>
      <c r="L11"/>
      <c r="M11"/>
    </row>
    <row r="12" ht="35.25" customHeight="1" spans="1:13">
      <c r="A12" s="172"/>
      <c r="B12" s="164"/>
      <c r="C12" s="164"/>
      <c r="D12" s="164"/>
      <c r="E12" s="164" t="s">
        <v>1169</v>
      </c>
      <c r="F12" s="164"/>
      <c r="G12" s="163" t="s">
        <v>1170</v>
      </c>
      <c r="H12" s="164">
        <v>1254367</v>
      </c>
      <c r="I12" s="164"/>
      <c r="J12" s="174">
        <f>J10-J11</f>
        <v>784748</v>
      </c>
    </row>
    <row r="13" ht="35.25" customHeight="1" spans="1:13">
      <c r="A13" s="172"/>
      <c r="B13" s="164"/>
      <c r="C13" s="164"/>
      <c r="D13" s="164"/>
      <c r="E13" s="164" t="s">
        <v>1171</v>
      </c>
      <c r="F13" s="164"/>
      <c r="G13" s="163" t="s">
        <v>1172</v>
      </c>
      <c r="H13" s="164">
        <v>6986</v>
      </c>
      <c r="I13" s="164"/>
      <c r="J13" s="174">
        <v>0</v>
      </c>
      <c r="K13"/>
      <c r="L13"/>
      <c r="M13"/>
    </row>
    <row r="14" ht="42.75" customHeight="1" spans="1:13">
      <c r="A14" s="172"/>
      <c r="B14" s="164"/>
      <c r="C14" s="164"/>
      <c r="D14" s="164"/>
      <c r="E14" s="164" t="s">
        <v>1173</v>
      </c>
      <c r="F14" s="164"/>
      <c r="G14" s="176" t="s">
        <v>1174</v>
      </c>
      <c r="H14" s="166">
        <f>H15</f>
        <v>7399</v>
      </c>
      <c r="I14" s="166"/>
      <c r="J14" s="166">
        <f>J15</f>
        <v>10766.55</v>
      </c>
    </row>
    <row r="15" ht="54.75" customHeight="1" spans="1:13">
      <c r="A15" s="172"/>
      <c r="B15" s="164"/>
      <c r="C15" s="164"/>
      <c r="D15" s="164"/>
      <c r="E15" s="166" t="s">
        <v>1175</v>
      </c>
      <c r="F15" s="166"/>
      <c r="G15" s="177" t="s">
        <v>1059</v>
      </c>
      <c r="H15" s="164">
        <f>SUM(H16:H18)</f>
        <v>7399</v>
      </c>
      <c r="I15" s="164"/>
      <c r="J15" s="164">
        <f>J16+J18</f>
        <v>10766.55</v>
      </c>
    </row>
    <row r="16" ht="38.25" customHeight="1" spans="1:13">
      <c r="A16" s="172"/>
      <c r="B16" s="164"/>
      <c r="C16" s="164"/>
      <c r="D16" s="164"/>
      <c r="E16" s="164" t="s">
        <v>1176</v>
      </c>
      <c r="F16" s="164"/>
      <c r="G16" s="177" t="s">
        <v>1177</v>
      </c>
      <c r="H16" s="164">
        <v>4175</v>
      </c>
      <c r="I16" s="164"/>
      <c r="J16" s="164">
        <f>5348+1</f>
        <v>5349</v>
      </c>
      <c r="K16"/>
      <c r="L16"/>
    </row>
    <row r="17" ht="38.25" customHeight="1" spans="1:12">
      <c r="A17" s="172"/>
      <c r="B17" s="164"/>
      <c r="C17" s="164"/>
      <c r="D17" s="164"/>
      <c r="E17" s="164"/>
      <c r="F17" s="164"/>
      <c r="G17" s="177" t="s">
        <v>1178</v>
      </c>
      <c r="H17" s="164">
        <v>647</v>
      </c>
      <c r="I17" s="164"/>
      <c r="J17" s="164">
        <v>0</v>
      </c>
      <c r="K17"/>
      <c r="L17"/>
    </row>
    <row r="18" ht="38.25" customHeight="1" spans="1:12">
      <c r="A18" s="172"/>
      <c r="B18" s="164"/>
      <c r="C18" s="164"/>
      <c r="D18" s="164"/>
      <c r="E18" s="164" t="s">
        <v>1179</v>
      </c>
      <c r="F18" s="164"/>
      <c r="G18" s="177" t="s">
        <v>1180</v>
      </c>
      <c r="H18" s="164">
        <v>2577</v>
      </c>
      <c r="I18" s="164"/>
      <c r="J18" s="164">
        <f>5513-95.45</f>
        <v>5417.55</v>
      </c>
      <c r="K18"/>
      <c r="L18"/>
    </row>
    <row r="19" ht="36" customHeight="1" spans="1:12">
      <c r="A19" s="178" t="s">
        <v>1181</v>
      </c>
      <c r="B19" s="166">
        <f>SUM(B6:B10)</f>
        <v>1005751</v>
      </c>
      <c r="C19" s="166"/>
      <c r="D19" s="166">
        <f>SUM(D6:D10)</f>
        <v>471037.55</v>
      </c>
      <c r="E19" s="164"/>
      <c r="F19" s="164"/>
      <c r="G19" s="179" t="s">
        <v>1182</v>
      </c>
      <c r="H19" s="166">
        <f>H6+H9+H14</f>
        <v>1425486</v>
      </c>
      <c r="I19" s="166"/>
      <c r="J19" s="166">
        <f>J9+J14</f>
        <v>914407.55</v>
      </c>
    </row>
    <row r="20" ht="32.25" customHeight="1" spans="1:12">
      <c r="A20" s="180" t="s">
        <v>1183</v>
      </c>
      <c r="B20" s="166">
        <f>SUM(B21:B22)</f>
        <v>920000</v>
      </c>
      <c r="C20" s="166"/>
      <c r="D20" s="166">
        <f>SUM(D21:D22)</f>
        <v>469170</v>
      </c>
      <c r="E20" s="164"/>
      <c r="F20" s="164"/>
      <c r="G20" s="181" t="s">
        <v>555</v>
      </c>
      <c r="H20" s="182">
        <f>H21+H22</f>
        <v>488360</v>
      </c>
      <c r="I20" s="182"/>
      <c r="J20" s="182">
        <f>J22</f>
        <v>0</v>
      </c>
    </row>
    <row r="21" ht="37.5" customHeight="1" spans="1:12">
      <c r="A21" s="183" t="s">
        <v>1184</v>
      </c>
      <c r="B21" s="164">
        <v>280000</v>
      </c>
      <c r="C21" s="171"/>
      <c r="D21" s="184">
        <v>287170</v>
      </c>
      <c r="E21" s="164"/>
      <c r="F21" s="170" t="s">
        <v>1185</v>
      </c>
      <c r="G21" s="163" t="s">
        <v>1186</v>
      </c>
      <c r="H21" s="174">
        <v>201190</v>
      </c>
      <c r="I21" s="174"/>
      <c r="J21" s="185">
        <v>0</v>
      </c>
      <c r="K21"/>
      <c r="L21"/>
    </row>
    <row r="22" ht="39" customHeight="1" spans="1:12">
      <c r="A22" s="183" t="s">
        <v>1187</v>
      </c>
      <c r="B22" s="164">
        <v>640000</v>
      </c>
      <c r="C22" s="171"/>
      <c r="D22" s="164">
        <f>SUM(D23:D24)</f>
        <v>182000</v>
      </c>
      <c r="E22" s="164"/>
      <c r="F22" s="164"/>
      <c r="G22" s="163" t="s">
        <v>1188</v>
      </c>
      <c r="H22" s="184">
        <v>287170</v>
      </c>
      <c r="I22" s="184"/>
      <c r="J22" s="185">
        <v>0</v>
      </c>
      <c r="K22"/>
      <c r="L22"/>
    </row>
    <row r="23" ht="39" customHeight="1" spans="1:12">
      <c r="A23" s="186" t="s">
        <v>1189</v>
      </c>
      <c r="B23" s="164">
        <v>640000</v>
      </c>
      <c r="C23" s="164"/>
      <c r="D23" s="164">
        <v>162000</v>
      </c>
      <c r="E23" s="164"/>
      <c r="F23" s="164"/>
      <c r="G23" s="181" t="s">
        <v>1190</v>
      </c>
      <c r="H23" s="182">
        <v>11200</v>
      </c>
      <c r="I23" s="182"/>
      <c r="J23" s="182">
        <v>25600</v>
      </c>
    </row>
    <row r="24" ht="39" customHeight="1" spans="1:12">
      <c r="A24" s="186" t="s">
        <v>1191</v>
      </c>
      <c r="B24" s="164">
        <v>0</v>
      </c>
      <c r="C24" s="164"/>
      <c r="D24" s="164">
        <v>20000</v>
      </c>
      <c r="E24" s="164"/>
      <c r="F24" s="164"/>
      <c r="G24" s="181" t="s">
        <v>1192</v>
      </c>
      <c r="H24" s="182">
        <v>705</v>
      </c>
      <c r="I24" s="182"/>
      <c r="J24" s="182">
        <v>200</v>
      </c>
    </row>
    <row r="25" ht="42" customHeight="1" spans="1:12">
      <c r="A25" s="178" t="s">
        <v>1193</v>
      </c>
      <c r="B25" s="166">
        <f>B20+B19</f>
        <v>1925751</v>
      </c>
      <c r="C25" s="166"/>
      <c r="D25" s="166">
        <f>D19+D20</f>
        <v>940207.55</v>
      </c>
      <c r="E25" s="164"/>
      <c r="F25" s="164"/>
      <c r="G25" s="179" t="s">
        <v>1194</v>
      </c>
      <c r="H25" s="182">
        <f>H19+H20+H23+H24</f>
        <v>1925751</v>
      </c>
      <c r="I25" s="182"/>
      <c r="J25" s="182">
        <f>J19+J20+J23+J24</f>
        <v>940207.55</v>
      </c>
    </row>
    <row r="26" s="152" customFormat="1" ht="42" customHeight="1" spans="1:12">
      <c r="A26" s="153"/>
      <c r="B26" s="153"/>
      <c r="C26" s="153"/>
      <c r="D26" s="153"/>
      <c r="E26" s="153"/>
      <c r="F26" s="153"/>
      <c r="G26" s="153"/>
      <c r="H26" s="153"/>
      <c r="I26" s="153"/>
      <c r="J26" s="153"/>
    </row>
    <row r="27" ht="42" customHeight="1"/>
    <row r="28" ht="42" customHeight="1"/>
    <row r="29" ht="42" customHeight="1"/>
    <row r="30" ht="42"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7" customHeight="1"/>
  </sheetData>
  <mergeCells count="3">
    <mergeCell ref="A2:J2"/>
    <mergeCell ref="A4:D4"/>
    <mergeCell ref="G4:J4"/>
  </mergeCells>
  <printOptions horizontalCentered="1"/>
  <pageMargins left="0.59" right="0.59" top="0.79" bottom="0.79" header="0.16" footer="0.51"/>
  <pageSetup paperSize="9" scale="75"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B5" sqref="B5"/>
    </sheetView>
  </sheetViews>
  <sheetFormatPr defaultColWidth="9" defaultRowHeight="30" customHeight="1" outlineLevelCol="3"/>
  <cols>
    <col min="1" max="1" width="20.625" style="131" customWidth="1"/>
    <col min="2" max="2" width="16.75" style="131" customWidth="1"/>
    <col min="3" max="3" width="25.125" style="131" customWidth="1"/>
    <col min="4" max="4" width="14.25" style="131" customWidth="1"/>
    <col min="5" max="16384" width="9" style="131"/>
  </cols>
  <sheetData>
    <row r="1" ht="24.75" customHeight="1" spans="1:4">
      <c r="A1" s="132" t="s">
        <v>1195</v>
      </c>
    </row>
    <row r="2" ht="33" customHeight="1" spans="1:4">
      <c r="A2" s="133" t="s">
        <v>1196</v>
      </c>
      <c r="B2" s="133"/>
      <c r="C2" s="133"/>
      <c r="D2" s="133"/>
    </row>
    <row r="3" ht="26.25" customHeight="1" spans="1:4">
      <c r="A3" s="134"/>
      <c r="B3" s="134"/>
      <c r="C3" s="134"/>
      <c r="D3" s="135" t="s">
        <v>38</v>
      </c>
    </row>
    <row r="4" s="130" customFormat="1" ht="27.95" customHeight="1" spans="1:4">
      <c r="A4" s="136" t="s">
        <v>1146</v>
      </c>
      <c r="B4" s="136"/>
      <c r="C4" s="136" t="s">
        <v>1147</v>
      </c>
      <c r="D4" s="136"/>
    </row>
    <row r="5" ht="33" customHeight="1" spans="1:4">
      <c r="A5" s="137" t="s">
        <v>1148</v>
      </c>
      <c r="B5" s="137" t="s">
        <v>1197</v>
      </c>
      <c r="C5" s="137" t="s">
        <v>1148</v>
      </c>
      <c r="D5" s="137" t="s">
        <v>1197</v>
      </c>
    </row>
    <row r="6" ht="51" customHeight="1" spans="1:4">
      <c r="A6" s="138" t="s">
        <v>1198</v>
      </c>
      <c r="B6" s="139">
        <v>462029</v>
      </c>
      <c r="C6" s="140" t="s">
        <v>1199</v>
      </c>
      <c r="D6" s="141">
        <v>50000</v>
      </c>
    </row>
    <row r="7" ht="54" customHeight="1" spans="1:4">
      <c r="A7" s="138" t="s">
        <v>1200</v>
      </c>
      <c r="B7" s="141">
        <v>285062</v>
      </c>
      <c r="C7" s="142" t="s">
        <v>1201</v>
      </c>
      <c r="D7" s="141">
        <f>B10-D6-D8-D9</f>
        <v>671641</v>
      </c>
    </row>
    <row r="8" ht="45" customHeight="1" spans="1:4">
      <c r="A8" s="143"/>
      <c r="B8" s="144"/>
      <c r="C8" s="142" t="s">
        <v>1202</v>
      </c>
      <c r="D8" s="141">
        <v>25250</v>
      </c>
    </row>
    <row r="9" ht="49.5" customHeight="1" spans="1:4">
      <c r="A9" s="143"/>
      <c r="B9" s="144"/>
      <c r="C9" s="142" t="s">
        <v>1203</v>
      </c>
      <c r="D9" s="141">
        <v>200</v>
      </c>
    </row>
    <row r="10" ht="45" customHeight="1" spans="1:4">
      <c r="A10" s="145" t="s">
        <v>1204</v>
      </c>
      <c r="B10" s="146">
        <f>B6+B7</f>
        <v>747091</v>
      </c>
      <c r="C10" s="145" t="s">
        <v>1204</v>
      </c>
      <c r="D10" s="146">
        <f>SUM(D6:D9)</f>
        <v>747091</v>
      </c>
    </row>
    <row r="11" ht="14.25"/>
    <row r="12" ht="14.25"/>
    <row r="13" ht="14.25"/>
    <row r="14" ht="14.25"/>
    <row r="18" customHeight="1" spans="3:4">
      <c r="C18" s="147"/>
      <c r="D18" s="148"/>
    </row>
    <row r="19" customHeight="1" spans="3:4">
      <c r="C19" s="147"/>
      <c r="D19" s="149"/>
    </row>
    <row r="20" customHeight="1" spans="3:4">
      <c r="C20" s="147"/>
      <c r="D20" s="148"/>
    </row>
    <row r="21" customHeight="1" spans="3:4">
      <c r="C21" s="147"/>
      <c r="D21" s="148"/>
    </row>
    <row r="22" customHeight="1" spans="3:4">
      <c r="C22" s="147"/>
      <c r="D22" s="148"/>
    </row>
    <row r="23" customHeight="1" spans="3:4">
      <c r="C23" s="150"/>
      <c r="D23" s="151"/>
    </row>
    <row r="24" customHeight="1" spans="3:4">
      <c r="C24" s="150"/>
      <c r="D24" s="151"/>
    </row>
    <row r="25" customHeight="1" spans="3:4">
      <c r="C25" s="150"/>
      <c r="D25" s="148"/>
    </row>
    <row r="26" customHeight="1" spans="3:4">
      <c r="C26" s="147"/>
      <c r="D26" s="148"/>
    </row>
    <row r="27" customHeight="1" spans="3:4">
      <c r="C27" s="147"/>
      <c r="D27" s="148"/>
    </row>
  </sheetData>
  <mergeCells count="3">
    <mergeCell ref="A2:D2"/>
    <mergeCell ref="A4:B4"/>
    <mergeCell ref="C4:D4"/>
  </mergeCells>
  <printOptions horizontalCentered="1"/>
  <pageMargins left="0.59" right="0.59" top="0.79" bottom="0.79" header="0.16" footer="0.47"/>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zoomScaleSheetLayoutView="60" workbookViewId="0">
      <selection activeCell="D10" sqref="D10"/>
    </sheetView>
  </sheetViews>
  <sheetFormatPr defaultColWidth="9" defaultRowHeight="14.25" outlineLevelCol="6"/>
  <cols>
    <col min="1" max="1" width="5.875" style="110" customWidth="1"/>
    <col min="2" max="2" width="17.5" style="110" customWidth="1"/>
    <col min="3" max="3" width="14.875" style="110" customWidth="1"/>
    <col min="4" max="4" width="52.875" style="110" customWidth="1"/>
    <col min="5" max="5" width="18.25" style="110" customWidth="1"/>
    <col min="6" max="6" width="16.375" style="110" customWidth="1"/>
    <col min="7" max="7" width="15.875" style="110" hidden="1" customWidth="1"/>
    <col min="8" max="16384" width="9" style="110"/>
  </cols>
  <sheetData>
    <row r="1" ht="17.25" spans="1:7">
      <c r="A1" s="111" t="s">
        <v>1205</v>
      </c>
    </row>
    <row r="2" ht="30.75" customHeight="1" spans="1:7">
      <c r="A2" s="112" t="s">
        <v>1206</v>
      </c>
      <c r="B2" s="112"/>
      <c r="C2" s="112"/>
      <c r="D2" s="112"/>
      <c r="E2" s="112"/>
      <c r="F2" s="112"/>
    </row>
    <row r="3" ht="17.25" spans="1:7">
      <c r="A3" s="113"/>
      <c r="B3" s="113"/>
      <c r="C3" s="113"/>
      <c r="D3" s="113"/>
      <c r="E3" s="114"/>
      <c r="F3" s="114" t="s">
        <v>38</v>
      </c>
    </row>
    <row r="4" ht="33" customHeight="1" spans="1:7">
      <c r="A4" s="115" t="s">
        <v>630</v>
      </c>
      <c r="B4" s="115" t="s">
        <v>649</v>
      </c>
      <c r="C4" s="115" t="s">
        <v>40</v>
      </c>
      <c r="D4" s="116" t="s">
        <v>638</v>
      </c>
      <c r="E4" s="117" t="s">
        <v>632</v>
      </c>
      <c r="F4" s="118" t="s">
        <v>639</v>
      </c>
    </row>
    <row r="5" ht="33" customHeight="1" spans="1:7">
      <c r="A5" s="115"/>
      <c r="B5" s="119" t="s">
        <v>633</v>
      </c>
      <c r="C5" s="120"/>
      <c r="D5" s="116"/>
      <c r="E5" s="121">
        <f>E11+E16+E25+E31</f>
        <v>1641768.445</v>
      </c>
      <c r="F5" s="118"/>
    </row>
    <row r="6" ht="36" customHeight="1" spans="1:7">
      <c r="A6" s="122">
        <v>1</v>
      </c>
      <c r="B6" s="122" t="s">
        <v>1207</v>
      </c>
      <c r="C6" s="122" t="s">
        <v>759</v>
      </c>
      <c r="D6" s="123" t="s">
        <v>1208</v>
      </c>
      <c r="E6" s="124">
        <v>37</v>
      </c>
      <c r="F6" s="122" t="s">
        <v>658</v>
      </c>
    </row>
    <row r="7" ht="36" customHeight="1" spans="1:7">
      <c r="A7" s="122">
        <v>2</v>
      </c>
      <c r="B7" s="122" t="s">
        <v>1209</v>
      </c>
      <c r="C7" s="122" t="s">
        <v>759</v>
      </c>
      <c r="D7" s="123" t="s">
        <v>1210</v>
      </c>
      <c r="E7" s="124">
        <v>147</v>
      </c>
      <c r="F7" s="122" t="s">
        <v>658</v>
      </c>
    </row>
    <row r="8" ht="36" customHeight="1" spans="1:7">
      <c r="A8" s="122">
        <v>3</v>
      </c>
      <c r="B8" s="122" t="s">
        <v>1211</v>
      </c>
      <c r="C8" s="122" t="s">
        <v>759</v>
      </c>
      <c r="D8" s="123" t="s">
        <v>1212</v>
      </c>
      <c r="E8" s="124">
        <v>66.235</v>
      </c>
      <c r="F8" s="125" t="s">
        <v>658</v>
      </c>
    </row>
    <row r="9" ht="36" customHeight="1" spans="1:7">
      <c r="A9" s="122">
        <v>4</v>
      </c>
      <c r="B9" s="122" t="s">
        <v>1213</v>
      </c>
      <c r="C9" s="122" t="s">
        <v>759</v>
      </c>
      <c r="D9" s="123" t="s">
        <v>1214</v>
      </c>
      <c r="E9" s="126">
        <v>168</v>
      </c>
      <c r="F9" s="122" t="s">
        <v>658</v>
      </c>
      <c r="G9" s="127" t="s">
        <v>756</v>
      </c>
    </row>
    <row r="10" ht="36" customHeight="1" spans="1:7">
      <c r="A10" s="122">
        <v>5</v>
      </c>
      <c r="B10" s="122" t="s">
        <v>1215</v>
      </c>
      <c r="C10" s="122" t="s">
        <v>759</v>
      </c>
      <c r="D10" s="123" t="s">
        <v>1216</v>
      </c>
      <c r="E10" s="126">
        <v>315</v>
      </c>
      <c r="F10" s="122" t="s">
        <v>658</v>
      </c>
      <c r="G10" s="127" t="s">
        <v>756</v>
      </c>
    </row>
    <row r="11" ht="36" customHeight="1" spans="1:7">
      <c r="A11" s="118"/>
      <c r="B11" s="118"/>
      <c r="C11" s="118" t="s">
        <v>779</v>
      </c>
      <c r="D11" s="116"/>
      <c r="E11" s="121">
        <f>SUM(E6:E10)</f>
        <v>733.235</v>
      </c>
      <c r="F11" s="128"/>
    </row>
    <row r="12" ht="36" customHeight="1" spans="1:7">
      <c r="A12" s="122">
        <v>6</v>
      </c>
      <c r="B12" s="122" t="s">
        <v>1217</v>
      </c>
      <c r="C12" s="122" t="s">
        <v>863</v>
      </c>
      <c r="D12" s="123" t="s">
        <v>1218</v>
      </c>
      <c r="E12" s="124">
        <v>7200</v>
      </c>
      <c r="F12" s="122" t="s">
        <v>658</v>
      </c>
    </row>
    <row r="13" ht="36" customHeight="1" spans="1:7">
      <c r="A13" s="122">
        <v>7</v>
      </c>
      <c r="B13" s="122" t="s">
        <v>1219</v>
      </c>
      <c r="C13" s="122" t="s">
        <v>863</v>
      </c>
      <c r="D13" s="123" t="s">
        <v>1220</v>
      </c>
      <c r="E13" s="124">
        <v>42820</v>
      </c>
      <c r="F13" s="122" t="s">
        <v>658</v>
      </c>
    </row>
    <row r="14" ht="36" customHeight="1" spans="1:7">
      <c r="A14" s="122">
        <v>8</v>
      </c>
      <c r="B14" s="122" t="s">
        <v>1221</v>
      </c>
      <c r="C14" s="122" t="s">
        <v>863</v>
      </c>
      <c r="D14" s="123" t="s">
        <v>1222</v>
      </c>
      <c r="E14" s="124">
        <v>640000</v>
      </c>
      <c r="F14" s="122" t="s">
        <v>658</v>
      </c>
    </row>
    <row r="15" ht="36" customHeight="1" spans="1:7">
      <c r="A15" s="122">
        <v>9</v>
      </c>
      <c r="B15" s="122" t="s">
        <v>1223</v>
      </c>
      <c r="C15" s="122" t="s">
        <v>863</v>
      </c>
      <c r="D15" s="123" t="s">
        <v>1224</v>
      </c>
      <c r="E15" s="124">
        <v>3250</v>
      </c>
      <c r="F15" s="122" t="s">
        <v>658</v>
      </c>
      <c r="G15" s="127" t="s">
        <v>1225</v>
      </c>
    </row>
    <row r="16" ht="36" customHeight="1" spans="1:7">
      <c r="A16" s="118"/>
      <c r="B16" s="118"/>
      <c r="C16" s="118" t="s">
        <v>880</v>
      </c>
      <c r="D16" s="116"/>
      <c r="E16" s="121">
        <f>SUM(E12:E15)</f>
        <v>693270</v>
      </c>
      <c r="F16" s="118"/>
    </row>
    <row r="17" ht="36" customHeight="1" spans="1:7">
      <c r="A17" s="122">
        <v>10</v>
      </c>
      <c r="B17" s="122" t="s">
        <v>1226</v>
      </c>
      <c r="C17" s="122" t="s">
        <v>548</v>
      </c>
      <c r="D17" s="123" t="s">
        <v>1227</v>
      </c>
      <c r="E17" s="124">
        <v>4907.87</v>
      </c>
      <c r="F17" s="122" t="s">
        <v>1228</v>
      </c>
    </row>
    <row r="18" ht="36" customHeight="1" spans="1:7">
      <c r="A18" s="122">
        <v>11</v>
      </c>
      <c r="B18" s="122" t="s">
        <v>1229</v>
      </c>
      <c r="C18" s="122" t="s">
        <v>548</v>
      </c>
      <c r="D18" s="123" t="s">
        <v>1230</v>
      </c>
      <c r="E18" s="124">
        <v>178.74</v>
      </c>
      <c r="F18" s="122" t="s">
        <v>1231</v>
      </c>
    </row>
    <row r="19" ht="36" customHeight="1" spans="1:7">
      <c r="A19" s="122">
        <v>12</v>
      </c>
      <c r="B19" s="122" t="s">
        <v>1232</v>
      </c>
      <c r="C19" s="122" t="s">
        <v>548</v>
      </c>
      <c r="D19" s="123" t="s">
        <v>1230</v>
      </c>
      <c r="E19" s="124">
        <v>20</v>
      </c>
      <c r="F19" s="122" t="s">
        <v>1233</v>
      </c>
    </row>
    <row r="20" ht="36" customHeight="1" spans="1:7">
      <c r="A20" s="122">
        <v>13</v>
      </c>
      <c r="B20" s="122" t="s">
        <v>1234</v>
      </c>
      <c r="C20" s="122" t="s">
        <v>548</v>
      </c>
      <c r="D20" s="123" t="s">
        <v>1235</v>
      </c>
      <c r="E20" s="124">
        <v>2</v>
      </c>
      <c r="F20" s="122" t="s">
        <v>830</v>
      </c>
    </row>
    <row r="21" ht="36" customHeight="1" spans="1:7">
      <c r="A21" s="122">
        <v>14</v>
      </c>
      <c r="B21" s="122" t="s">
        <v>1236</v>
      </c>
      <c r="C21" s="122" t="s">
        <v>548</v>
      </c>
      <c r="D21" s="123" t="s">
        <v>1237</v>
      </c>
      <c r="E21" s="124">
        <v>208.2</v>
      </c>
      <c r="F21" s="122" t="s">
        <v>1238</v>
      </c>
    </row>
    <row r="22" ht="36" customHeight="1" spans="1:7">
      <c r="A22" s="122">
        <v>15</v>
      </c>
      <c r="B22" s="122" t="s">
        <v>1239</v>
      </c>
      <c r="C22" s="122" t="s">
        <v>548</v>
      </c>
      <c r="D22" s="123" t="s">
        <v>1240</v>
      </c>
      <c r="E22" s="124">
        <v>217</v>
      </c>
      <c r="F22" s="122" t="s">
        <v>1241</v>
      </c>
    </row>
    <row r="23" ht="36" customHeight="1" spans="1:7">
      <c r="A23" s="122">
        <v>16</v>
      </c>
      <c r="B23" s="122" t="s">
        <v>1242</v>
      </c>
      <c r="C23" s="122" t="s">
        <v>548</v>
      </c>
      <c r="D23" s="123" t="s">
        <v>1243</v>
      </c>
      <c r="E23" s="124">
        <v>333</v>
      </c>
      <c r="F23" s="122" t="s">
        <v>1244</v>
      </c>
    </row>
    <row r="24" ht="36" customHeight="1" spans="1:7">
      <c r="A24" s="122">
        <v>17</v>
      </c>
      <c r="B24" s="122" t="s">
        <v>1245</v>
      </c>
      <c r="C24" s="123" t="s">
        <v>548</v>
      </c>
      <c r="D24" s="129" t="s">
        <v>1246</v>
      </c>
      <c r="E24" s="124">
        <v>267</v>
      </c>
      <c r="F24" s="122" t="s">
        <v>1247</v>
      </c>
      <c r="G24" s="122" t="s">
        <v>1248</v>
      </c>
    </row>
    <row r="25" ht="36" customHeight="1" spans="1:7">
      <c r="A25" s="122"/>
      <c r="B25" s="118"/>
      <c r="C25" s="118" t="s">
        <v>916</v>
      </c>
      <c r="D25" s="116"/>
      <c r="E25" s="121">
        <f>SUM(E17:E24)</f>
        <v>6133.81</v>
      </c>
      <c r="F25" s="118"/>
    </row>
    <row r="26" ht="36" customHeight="1" spans="1:7">
      <c r="A26" s="122">
        <v>18</v>
      </c>
      <c r="B26" s="122" t="s">
        <v>1249</v>
      </c>
      <c r="C26" s="122" t="s">
        <v>555</v>
      </c>
      <c r="D26" s="123" t="s">
        <v>1250</v>
      </c>
      <c r="E26" s="124">
        <v>782777.52</v>
      </c>
      <c r="F26" s="122" t="s">
        <v>1228</v>
      </c>
    </row>
    <row r="27" ht="36" customHeight="1" spans="1:7">
      <c r="A27" s="122">
        <v>19</v>
      </c>
      <c r="B27" s="122" t="s">
        <v>1251</v>
      </c>
      <c r="C27" s="122" t="s">
        <v>555</v>
      </c>
      <c r="D27" s="123" t="s">
        <v>1252</v>
      </c>
      <c r="E27" s="124">
        <v>146047.17</v>
      </c>
      <c r="F27" s="122" t="s">
        <v>1228</v>
      </c>
    </row>
    <row r="28" ht="36" customHeight="1" spans="1:7">
      <c r="A28" s="122">
        <v>20</v>
      </c>
      <c r="B28" s="122" t="s">
        <v>1253</v>
      </c>
      <c r="C28" s="122" t="s">
        <v>555</v>
      </c>
      <c r="D28" s="123" t="s">
        <v>1254</v>
      </c>
      <c r="E28" s="124">
        <v>166.64</v>
      </c>
      <c r="F28" s="122" t="s">
        <v>1228</v>
      </c>
    </row>
    <row r="29" ht="36" customHeight="1" spans="1:7">
      <c r="A29" s="122">
        <v>21</v>
      </c>
      <c r="B29" s="122" t="s">
        <v>1255</v>
      </c>
      <c r="C29" s="122" t="s">
        <v>555</v>
      </c>
      <c r="D29" s="123" t="s">
        <v>1256</v>
      </c>
      <c r="E29" s="124">
        <v>6656.5</v>
      </c>
      <c r="F29" s="122" t="s">
        <v>1228</v>
      </c>
    </row>
    <row r="30" ht="36" customHeight="1" spans="1:7">
      <c r="A30" s="122">
        <v>22</v>
      </c>
      <c r="B30" s="122" t="s">
        <v>1257</v>
      </c>
      <c r="C30" s="122" t="s">
        <v>555</v>
      </c>
      <c r="D30" s="123" t="s">
        <v>1258</v>
      </c>
      <c r="E30" s="124">
        <v>5983.57</v>
      </c>
      <c r="F30" s="122" t="s">
        <v>1228</v>
      </c>
    </row>
    <row r="31" ht="36" customHeight="1" spans="1:7">
      <c r="A31" s="118"/>
      <c r="B31" s="118"/>
      <c r="C31" s="118" t="s">
        <v>1259</v>
      </c>
      <c r="D31" s="116"/>
      <c r="E31" s="121">
        <f>SUM(E26:E30)</f>
        <v>941631.4</v>
      </c>
      <c r="F31" s="118"/>
    </row>
  </sheetData>
  <mergeCells count="2">
    <mergeCell ref="A2:F2"/>
    <mergeCell ref="B5:C5"/>
  </mergeCells>
  <printOptions horizontalCentered="1"/>
  <pageMargins left="0.59" right="0.59" top="0.79" bottom="0.79" header="0.16" footer="0.51"/>
  <pageSetup paperSize="9" scale="65"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zoomScaleSheetLayoutView="60" workbookViewId="0">
      <selection activeCell="F5" sqref="F5"/>
    </sheetView>
  </sheetViews>
  <sheetFormatPr defaultColWidth="9" defaultRowHeight="14.25" outlineLevelRow="5" outlineLevelCol="5"/>
  <cols>
    <col min="1" max="1" width="6.625" customWidth="1"/>
    <col min="2" max="2" width="15.5" customWidth="1"/>
    <col min="3" max="3" width="10.75" customWidth="1"/>
    <col min="4" max="4" width="13.625" customWidth="1"/>
    <col min="5" max="5" width="12.5" customWidth="1"/>
    <col min="6" max="6" width="18" customWidth="1"/>
  </cols>
  <sheetData>
    <row r="1" ht="17.25" spans="1:6">
      <c r="A1" s="40" t="s">
        <v>1260</v>
      </c>
    </row>
    <row r="2" s="101" customFormat="1" ht="43.5" customHeight="1" spans="1:6">
      <c r="A2" s="102" t="s">
        <v>1261</v>
      </c>
      <c r="B2" s="102"/>
      <c r="C2" s="102"/>
      <c r="D2" s="102"/>
      <c r="E2" s="102"/>
      <c r="F2" s="102"/>
    </row>
    <row r="3" s="101" customFormat="1" ht="19.5" customHeight="1" spans="1:6">
      <c r="A3" s="103"/>
      <c r="B3" s="103"/>
      <c r="C3" s="103"/>
      <c r="D3" s="103"/>
      <c r="E3" s="103"/>
      <c r="F3" s="104" t="s">
        <v>38</v>
      </c>
    </row>
    <row r="4" ht="39.75" customHeight="1" spans="1:6">
      <c r="A4" s="105" t="s">
        <v>630</v>
      </c>
      <c r="B4" s="106" t="s">
        <v>40</v>
      </c>
      <c r="C4" s="106" t="s">
        <v>1262</v>
      </c>
      <c r="D4" s="106" t="s">
        <v>638</v>
      </c>
      <c r="E4" s="107" t="s">
        <v>632</v>
      </c>
      <c r="F4" s="106" t="s">
        <v>639</v>
      </c>
    </row>
    <row r="5" ht="81.75" customHeight="1" spans="1:6">
      <c r="A5" s="108">
        <v>1</v>
      </c>
      <c r="B5" s="108" t="s">
        <v>1263</v>
      </c>
      <c r="C5" s="108">
        <v>229</v>
      </c>
      <c r="D5" s="108" t="s">
        <v>1263</v>
      </c>
      <c r="E5" s="109">
        <v>4797.5</v>
      </c>
      <c r="F5" s="108" t="s">
        <v>1264</v>
      </c>
    </row>
    <row r="6" ht="51.95" customHeight="1" spans="1:6">
      <c r="A6" s="108">
        <v>2</v>
      </c>
      <c r="B6" s="108" t="s">
        <v>1265</v>
      </c>
      <c r="C6" s="108">
        <v>229</v>
      </c>
      <c r="D6" s="108" t="s">
        <v>1265</v>
      </c>
      <c r="E6" s="109">
        <f>3956-95.45</f>
        <v>3860.55</v>
      </c>
      <c r="F6" s="108" t="s">
        <v>1264</v>
      </c>
    </row>
  </sheetData>
  <mergeCells count="1">
    <mergeCell ref="A2:F2"/>
  </mergeCells>
  <printOptions horizontalCentered="1"/>
  <pageMargins left="0.59" right="0.59" top="0.79" bottom="0.79" header="0.16" footer="0.51"/>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D7" sqref="D7"/>
    </sheetView>
  </sheetViews>
  <sheetFormatPr defaultColWidth="9" defaultRowHeight="14.25" outlineLevelCol="5"/>
  <cols>
    <col min="1" max="1" width="17.25" customWidth="1"/>
    <col min="2" max="2" width="11.375" customWidth="1"/>
    <col min="3" max="3" width="10.25" customWidth="1"/>
    <col min="4" max="4" width="22.75" customWidth="1"/>
    <col min="5" max="6" width="10" customWidth="1"/>
  </cols>
  <sheetData>
    <row r="1" ht="17.25" spans="1:6">
      <c r="A1" s="81" t="s">
        <v>1266</v>
      </c>
      <c r="B1" s="82"/>
      <c r="C1" s="82"/>
      <c r="D1" s="83"/>
      <c r="E1" s="82"/>
      <c r="F1" s="84"/>
    </row>
    <row r="2" ht="25.5" spans="1:6">
      <c r="A2" s="85" t="s">
        <v>1267</v>
      </c>
      <c r="B2" s="85"/>
      <c r="C2" s="85"/>
      <c r="D2" s="85"/>
      <c r="E2" s="85"/>
      <c r="F2" s="85"/>
    </row>
    <row r="3" ht="17.25" spans="1:6">
      <c r="A3" s="86"/>
      <c r="B3" s="86"/>
      <c r="C3" s="86"/>
      <c r="D3" s="87"/>
      <c r="E3" s="84"/>
      <c r="F3" s="88" t="s">
        <v>38</v>
      </c>
    </row>
    <row r="4" ht="30" customHeight="1" spans="1:6">
      <c r="A4" s="89" t="s">
        <v>1268</v>
      </c>
      <c r="B4" s="89"/>
      <c r="C4" s="89"/>
      <c r="D4" s="89" t="s">
        <v>1269</v>
      </c>
      <c r="E4" s="89"/>
      <c r="F4" s="89"/>
    </row>
    <row r="5" s="80" customFormat="1" ht="33" customHeight="1" spans="1:6">
      <c r="A5" s="90" t="s">
        <v>1270</v>
      </c>
      <c r="B5" s="91" t="s">
        <v>1149</v>
      </c>
      <c r="C5" s="91" t="s">
        <v>919</v>
      </c>
      <c r="D5" s="90" t="s">
        <v>1270</v>
      </c>
      <c r="E5" s="91" t="s">
        <v>1149</v>
      </c>
      <c r="F5" s="91" t="s">
        <v>919</v>
      </c>
    </row>
    <row r="6" ht="39.95" customHeight="1" spans="1:6">
      <c r="A6" s="92" t="s">
        <v>1271</v>
      </c>
      <c r="B6" s="93">
        <f>SUM(B7:B8)</f>
        <v>21219</v>
      </c>
      <c r="C6" s="93">
        <f>SUM(C7:C8)</f>
        <v>95258</v>
      </c>
      <c r="D6" s="92" t="s">
        <v>1272</v>
      </c>
      <c r="E6" s="94">
        <f>E7</f>
        <v>381</v>
      </c>
      <c r="F6" s="94">
        <v>1438</v>
      </c>
    </row>
    <row r="7" ht="39.95" customHeight="1" spans="1:6">
      <c r="A7" s="95" t="s">
        <v>1273</v>
      </c>
      <c r="B7" s="96">
        <v>19971</v>
      </c>
      <c r="C7" s="96">
        <v>94759</v>
      </c>
      <c r="D7" s="95" t="s">
        <v>1274</v>
      </c>
      <c r="E7" s="96">
        <v>381</v>
      </c>
      <c r="F7" s="97">
        <v>1438</v>
      </c>
    </row>
    <row r="8" ht="30.95" customHeight="1" spans="1:6">
      <c r="A8" s="95" t="s">
        <v>1275</v>
      </c>
      <c r="B8" s="96">
        <v>1248</v>
      </c>
      <c r="C8" s="96">
        <v>499</v>
      </c>
      <c r="D8" s="98"/>
      <c r="E8" s="98"/>
      <c r="F8" s="98"/>
    </row>
    <row r="9" ht="39.95" customHeight="1" spans="1:6">
      <c r="A9" s="92" t="s">
        <v>1276</v>
      </c>
      <c r="B9" s="93">
        <f t="shared" ref="B9:F9" si="0">B6</f>
        <v>21219</v>
      </c>
      <c r="C9" s="93">
        <f t="shared" si="0"/>
        <v>95258</v>
      </c>
      <c r="D9" s="92" t="s">
        <v>1277</v>
      </c>
      <c r="E9" s="93">
        <f t="shared" si="0"/>
        <v>381</v>
      </c>
      <c r="F9" s="94">
        <f t="shared" si="0"/>
        <v>1438</v>
      </c>
    </row>
    <row r="10" ht="39.95" customHeight="1" spans="1:6">
      <c r="A10" s="92" t="s">
        <v>1183</v>
      </c>
      <c r="B10" s="93">
        <f t="shared" ref="B10:F10" si="1">B11</f>
        <v>4447</v>
      </c>
      <c r="C10" s="93">
        <f t="shared" si="1"/>
        <v>8985</v>
      </c>
      <c r="D10" s="92" t="s">
        <v>555</v>
      </c>
      <c r="E10" s="93">
        <v>16300</v>
      </c>
      <c r="F10" s="94">
        <f t="shared" si="1"/>
        <v>102805</v>
      </c>
    </row>
    <row r="11" ht="39.95" customHeight="1" spans="1:6">
      <c r="A11" s="95" t="s">
        <v>1278</v>
      </c>
      <c r="B11" s="96">
        <v>4447</v>
      </c>
      <c r="C11" s="96">
        <f>E12</f>
        <v>8985</v>
      </c>
      <c r="D11" s="95" t="s">
        <v>1186</v>
      </c>
      <c r="E11" s="96">
        <v>16300</v>
      </c>
      <c r="F11" s="97">
        <f>C13-F9</f>
        <v>102805</v>
      </c>
    </row>
    <row r="12" ht="33" customHeight="1" spans="1:6">
      <c r="A12" s="99"/>
      <c r="B12" s="100"/>
      <c r="C12" s="100"/>
      <c r="D12" s="92" t="s">
        <v>1279</v>
      </c>
      <c r="E12" s="93">
        <f>B13-E9-E10</f>
        <v>8985</v>
      </c>
      <c r="F12" s="93">
        <v>0</v>
      </c>
    </row>
    <row r="13" ht="36" customHeight="1" spans="1:6">
      <c r="A13" s="92" t="s">
        <v>1280</v>
      </c>
      <c r="B13" s="93">
        <f>B9+B11</f>
        <v>25666</v>
      </c>
      <c r="C13" s="93">
        <f>C9+C10</f>
        <v>104243</v>
      </c>
      <c r="D13" s="92" t="s">
        <v>1281</v>
      </c>
      <c r="E13" s="93">
        <f>E9+E10+E12</f>
        <v>25666</v>
      </c>
      <c r="F13" s="94">
        <f>F9+F10</f>
        <v>104243</v>
      </c>
    </row>
  </sheetData>
  <mergeCells count="4">
    <mergeCell ref="A2:F2"/>
    <mergeCell ref="A3:C3"/>
    <mergeCell ref="A4:C4"/>
    <mergeCell ref="D4:F4"/>
  </mergeCells>
  <printOptions horizontalCentered="1"/>
  <pageMargins left="0.59" right="0.59" top="0.79" bottom="0.79" header="0.16" footer="0.51"/>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H19" sqref="H19"/>
    </sheetView>
  </sheetViews>
  <sheetFormatPr defaultColWidth="9" defaultRowHeight="13.5" outlineLevelRow="5" outlineLevelCol="6"/>
  <cols>
    <col min="1" max="1" width="25.625" style="70" customWidth="1"/>
    <col min="2" max="7" width="11.625" style="70" customWidth="1"/>
    <col min="8" max="16384" width="9" style="70"/>
  </cols>
  <sheetData>
    <row r="1" ht="16.5" spans="1:7">
      <c r="A1" s="48" t="s">
        <v>1282</v>
      </c>
      <c r="B1" s="75"/>
      <c r="C1" s="75"/>
      <c r="D1" s="75"/>
      <c r="E1" s="75"/>
      <c r="F1" s="75"/>
      <c r="G1" s="75"/>
    </row>
    <row r="2" ht="20.25" spans="1:7">
      <c r="A2" s="59" t="s">
        <v>1283</v>
      </c>
      <c r="B2" s="59"/>
      <c r="C2" s="59"/>
      <c r="D2" s="59"/>
      <c r="E2" s="59"/>
      <c r="F2" s="59"/>
      <c r="G2" s="59"/>
    </row>
    <row r="3" ht="14.25" spans="1:7">
      <c r="A3" s="72"/>
      <c r="B3" s="72"/>
      <c r="C3" s="75"/>
      <c r="D3" s="75"/>
      <c r="E3" s="75"/>
      <c r="F3" s="76" t="s">
        <v>1284</v>
      </c>
      <c r="G3" s="76"/>
    </row>
    <row r="4" ht="27" customHeight="1" spans="1:7">
      <c r="A4" s="77" t="s">
        <v>1285</v>
      </c>
      <c r="B4" s="62" t="s">
        <v>1286</v>
      </c>
      <c r="C4" s="62"/>
      <c r="D4" s="62"/>
      <c r="E4" s="62" t="s">
        <v>1287</v>
      </c>
      <c r="F4" s="62"/>
      <c r="G4" s="62"/>
    </row>
    <row r="5" ht="26" customHeight="1" spans="1:7">
      <c r="A5" s="78"/>
      <c r="B5" s="64" t="s">
        <v>570</v>
      </c>
      <c r="C5" s="64" t="s">
        <v>1288</v>
      </c>
      <c r="D5" s="64" t="s">
        <v>1289</v>
      </c>
      <c r="E5" s="64" t="s">
        <v>570</v>
      </c>
      <c r="F5" s="64" t="s">
        <v>1288</v>
      </c>
      <c r="G5" s="64" t="s">
        <v>1289</v>
      </c>
    </row>
    <row r="6" ht="35" customHeight="1" spans="1:7">
      <c r="A6" s="79" t="s">
        <v>1290</v>
      </c>
      <c r="B6" s="73">
        <v>88.7</v>
      </c>
      <c r="C6" s="73">
        <v>24.7</v>
      </c>
      <c r="D6" s="73">
        <v>64</v>
      </c>
      <c r="E6" s="73">
        <v>69</v>
      </c>
      <c r="F6" s="73">
        <v>5</v>
      </c>
      <c r="G6" s="73">
        <v>64</v>
      </c>
    </row>
  </sheetData>
  <mergeCells count="5">
    <mergeCell ref="A2:G2"/>
    <mergeCell ref="F3:G3"/>
    <mergeCell ref="B4:D4"/>
    <mergeCell ref="E4:G4"/>
    <mergeCell ref="A4:A5"/>
  </mergeCells>
  <printOptions horizontalCentered="1"/>
  <pageMargins left="0.59" right="0.59" top="0.79" bottom="0.79" header="0.16" footer="0.51"/>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E7" sqref="E7"/>
    </sheetView>
  </sheetViews>
  <sheetFormatPr defaultColWidth="9" defaultRowHeight="13.5" outlineLevelCol="2"/>
  <cols>
    <col min="1" max="1" width="44" style="47" customWidth="1"/>
    <col min="2" max="2" width="22.5" style="47" customWidth="1"/>
    <col min="3" max="3" width="21.125" style="47" customWidth="1"/>
    <col min="4" max="4" width="18.75" style="47" customWidth="1"/>
    <col min="5" max="16384" width="9" style="47"/>
  </cols>
  <sheetData>
    <row r="1" ht="16.5" spans="1:3">
      <c r="A1" s="48" t="s">
        <v>1291</v>
      </c>
    </row>
    <row r="2" ht="35" customHeight="1" spans="1:3">
      <c r="A2" s="59" t="s">
        <v>1292</v>
      </c>
      <c r="B2" s="59"/>
      <c r="C2" s="59"/>
    </row>
    <row r="3" ht="25.5" customHeight="1" spans="1:3">
      <c r="A3" s="74"/>
      <c r="B3" s="74"/>
      <c r="C3" s="60" t="s">
        <v>1284</v>
      </c>
    </row>
    <row r="4" ht="25.5" customHeight="1" spans="1:3">
      <c r="A4" s="61" t="s">
        <v>1293</v>
      </c>
      <c r="B4" s="62" t="s">
        <v>1294</v>
      </c>
      <c r="C4" s="62" t="s">
        <v>1295</v>
      </c>
    </row>
    <row r="5" ht="24" customHeight="1" spans="1:3">
      <c r="A5" s="67" t="s">
        <v>1296</v>
      </c>
      <c r="B5" s="73"/>
      <c r="C5" s="73">
        <v>5</v>
      </c>
    </row>
    <row r="6" ht="24" customHeight="1" spans="1:3">
      <c r="A6" s="67" t="s">
        <v>1297</v>
      </c>
      <c r="B6" s="73">
        <v>24.7</v>
      </c>
      <c r="C6" s="73"/>
    </row>
    <row r="7" ht="24" customHeight="1" spans="1:3">
      <c r="A7" s="67" t="s">
        <v>1298</v>
      </c>
      <c r="B7" s="73"/>
      <c r="C7" s="73">
        <v>0</v>
      </c>
    </row>
    <row r="8" ht="24" customHeight="1" spans="1:3">
      <c r="A8" s="67" t="s">
        <v>1299</v>
      </c>
      <c r="B8" s="73"/>
      <c r="C8" s="73">
        <v>0</v>
      </c>
    </row>
    <row r="9" ht="24" customHeight="1" spans="1:3">
      <c r="A9" s="67" t="s">
        <v>1300</v>
      </c>
      <c r="B9" s="73"/>
      <c r="C9" s="73">
        <v>0</v>
      </c>
    </row>
    <row r="10" ht="24" customHeight="1" spans="1:3">
      <c r="A10" s="67" t="s">
        <v>1301</v>
      </c>
      <c r="B10" s="73"/>
      <c r="C10" s="73">
        <v>0</v>
      </c>
    </row>
    <row r="11" ht="24" customHeight="1" spans="1:3">
      <c r="A11" s="67" t="s">
        <v>1302</v>
      </c>
      <c r="B11" s="73"/>
      <c r="C11" s="73">
        <v>5</v>
      </c>
    </row>
  </sheetData>
  <mergeCells count="1">
    <mergeCell ref="A2:C2"/>
  </mergeCells>
  <printOptions horizontalCentered="1"/>
  <pageMargins left="0.59" right="0.59" top="0.79" bottom="0.79" header="0.16" footer="0.51"/>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
  <sheetViews>
    <sheetView workbookViewId="0">
      <selection activeCell="H8" sqref="H8"/>
    </sheetView>
  </sheetViews>
  <sheetFormatPr defaultColWidth="9" defaultRowHeight="13.5" outlineLevelCol="2"/>
  <cols>
    <col min="1" max="1" width="44.125" style="70" customWidth="1"/>
    <col min="2" max="3" width="19.375" style="70" customWidth="1"/>
    <col min="4" max="16384" width="9" style="70"/>
  </cols>
  <sheetData>
    <row r="1" ht="16.5" spans="1:3">
      <c r="A1" s="71" t="s">
        <v>1303</v>
      </c>
    </row>
    <row r="2" ht="33" customHeight="1" spans="1:3">
      <c r="A2" s="59" t="s">
        <v>1304</v>
      </c>
      <c r="B2" s="59"/>
      <c r="C2" s="59"/>
    </row>
    <row r="3" ht="24" customHeight="1" spans="1:3">
      <c r="A3" s="72"/>
      <c r="B3" s="72"/>
      <c r="C3" s="60" t="s">
        <v>1284</v>
      </c>
    </row>
    <row r="4" ht="30" customHeight="1" spans="1:3">
      <c r="A4" s="61" t="s">
        <v>1293</v>
      </c>
      <c r="B4" s="62" t="s">
        <v>1294</v>
      </c>
      <c r="C4" s="62" t="s">
        <v>1295</v>
      </c>
    </row>
    <row r="5" ht="27" customHeight="1" spans="1:3">
      <c r="A5" s="67" t="s">
        <v>1305</v>
      </c>
      <c r="B5" s="73"/>
      <c r="C5" s="73">
        <v>0</v>
      </c>
    </row>
    <row r="6" ht="27" customHeight="1" spans="1:3">
      <c r="A6" s="67" t="s">
        <v>1306</v>
      </c>
      <c r="B6" s="73">
        <v>64</v>
      </c>
      <c r="C6" s="73"/>
    </row>
    <row r="7" ht="27" customHeight="1" spans="1:3">
      <c r="A7" s="67" t="s">
        <v>1307</v>
      </c>
      <c r="B7" s="73"/>
      <c r="C7" s="73">
        <v>64</v>
      </c>
    </row>
    <row r="8" ht="27" customHeight="1" spans="1:3">
      <c r="A8" s="67" t="s">
        <v>1308</v>
      </c>
      <c r="B8" s="73"/>
      <c r="C8" s="73">
        <v>0</v>
      </c>
    </row>
    <row r="9" ht="27" customHeight="1" spans="1:3">
      <c r="A9" s="67" t="s">
        <v>1309</v>
      </c>
      <c r="B9" s="73"/>
      <c r="C9" s="73">
        <v>64</v>
      </c>
    </row>
  </sheetData>
  <mergeCells count="1">
    <mergeCell ref="A2:C2"/>
  </mergeCells>
  <printOptions horizontalCentered="1"/>
  <pageMargins left="0.59" right="0.59" top="0.79" bottom="0.79" header="0.16" footer="0.51"/>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L18" sqref="L18"/>
    </sheetView>
  </sheetViews>
  <sheetFormatPr defaultColWidth="9" defaultRowHeight="13.5" outlineLevelCol="2"/>
  <cols>
    <col min="1" max="1" width="26.875" style="47" customWidth="1"/>
    <col min="2" max="2" width="23.75" style="47" customWidth="1"/>
    <col min="3" max="3" width="21.625" style="47" customWidth="1"/>
    <col min="4" max="4" width="19" style="47" customWidth="1"/>
    <col min="5" max="16384" width="9" style="47"/>
  </cols>
  <sheetData>
    <row r="1" ht="16.5" spans="1:3">
      <c r="A1" s="48" t="s">
        <v>1310</v>
      </c>
      <c r="B1" s="48"/>
    </row>
    <row r="2" ht="25.5" customHeight="1" spans="1:3">
      <c r="A2" s="59" t="s">
        <v>1311</v>
      </c>
      <c r="B2" s="59"/>
      <c r="C2" s="59"/>
    </row>
    <row r="3" ht="25.5" customHeight="1" spans="1:3">
      <c r="A3" s="60" t="s">
        <v>1284</v>
      </c>
      <c r="B3" s="60"/>
      <c r="C3" s="60"/>
    </row>
    <row r="4" ht="25.5" customHeight="1" spans="1:3">
      <c r="A4" s="61" t="s">
        <v>1293</v>
      </c>
      <c r="B4" s="62" t="s">
        <v>1312</v>
      </c>
      <c r="C4" s="62" t="s">
        <v>1313</v>
      </c>
    </row>
    <row r="5" ht="24" customHeight="1" spans="1:3">
      <c r="A5" s="67" t="s">
        <v>1314</v>
      </c>
      <c r="B5" s="68">
        <v>64</v>
      </c>
      <c r="C5" s="68">
        <v>64</v>
      </c>
    </row>
    <row r="6" ht="24" customHeight="1" spans="1:3">
      <c r="A6" s="67" t="s">
        <v>1315</v>
      </c>
      <c r="B6" s="68">
        <v>0</v>
      </c>
      <c r="C6" s="68">
        <v>0</v>
      </c>
    </row>
    <row r="7" ht="24" customHeight="1" spans="1:3">
      <c r="A7" s="67" t="s">
        <v>1316</v>
      </c>
      <c r="B7" s="68">
        <v>0</v>
      </c>
      <c r="C7" s="68">
        <v>0</v>
      </c>
    </row>
    <row r="8" ht="24" customHeight="1" spans="1:3">
      <c r="A8" s="67" t="s">
        <v>1317</v>
      </c>
      <c r="B8" s="68">
        <v>64</v>
      </c>
      <c r="C8" s="68">
        <v>64</v>
      </c>
    </row>
    <row r="9" ht="24" customHeight="1" spans="1:3">
      <c r="A9" s="67" t="s">
        <v>1316</v>
      </c>
      <c r="B9" s="68">
        <v>0</v>
      </c>
      <c r="C9" s="68">
        <v>0</v>
      </c>
    </row>
    <row r="10" ht="24" customHeight="1" spans="1:3">
      <c r="A10" s="67" t="s">
        <v>1318</v>
      </c>
      <c r="B10" s="68">
        <v>0</v>
      </c>
      <c r="C10" s="68">
        <v>0</v>
      </c>
    </row>
    <row r="11" ht="24" customHeight="1" spans="1:3">
      <c r="A11" s="67" t="s">
        <v>1315</v>
      </c>
      <c r="B11" s="68">
        <v>0</v>
      </c>
      <c r="C11" s="68">
        <v>0</v>
      </c>
    </row>
    <row r="12" ht="24" customHeight="1" spans="1:3">
      <c r="A12" s="67" t="s">
        <v>1317</v>
      </c>
      <c r="B12" s="68">
        <v>0</v>
      </c>
      <c r="C12" s="68">
        <v>0</v>
      </c>
    </row>
    <row r="13" ht="24" customHeight="1" spans="1:3">
      <c r="A13" s="67" t="s">
        <v>1319</v>
      </c>
      <c r="B13" s="68">
        <f>B14+B15</f>
        <v>1.3105</v>
      </c>
      <c r="C13" s="68">
        <f>C14+C15</f>
        <v>1.3105</v>
      </c>
    </row>
    <row r="14" ht="24" customHeight="1" spans="1:3">
      <c r="A14" s="67" t="s">
        <v>1315</v>
      </c>
      <c r="B14" s="68">
        <v>0.1905</v>
      </c>
      <c r="C14" s="68">
        <v>0.1905</v>
      </c>
    </row>
    <row r="15" ht="24" customHeight="1" spans="1:3">
      <c r="A15" s="67" t="s">
        <v>1317</v>
      </c>
      <c r="B15" s="68">
        <v>1.12</v>
      </c>
      <c r="C15" s="68">
        <v>1.12</v>
      </c>
    </row>
    <row r="16" ht="24" customHeight="1" spans="1:3">
      <c r="A16" s="67" t="s">
        <v>1320</v>
      </c>
      <c r="B16" s="68">
        <v>0</v>
      </c>
      <c r="C16" s="68">
        <v>0</v>
      </c>
    </row>
    <row r="17" ht="24" customHeight="1" spans="1:3">
      <c r="A17" s="67" t="s">
        <v>1315</v>
      </c>
      <c r="B17" s="68">
        <v>0</v>
      </c>
      <c r="C17" s="68">
        <v>0</v>
      </c>
    </row>
    <row r="18" ht="24" customHeight="1" spans="1:3">
      <c r="A18" s="67" t="s">
        <v>1317</v>
      </c>
      <c r="B18" s="68">
        <v>0</v>
      </c>
      <c r="C18" s="68">
        <v>0</v>
      </c>
    </row>
    <row r="19" ht="24" customHeight="1" spans="1:3">
      <c r="A19" s="67" t="s">
        <v>1321</v>
      </c>
      <c r="B19" s="68">
        <f>B20+B21</f>
        <v>2.7505</v>
      </c>
      <c r="C19" s="68">
        <f>C20+C21</f>
        <v>2.7505</v>
      </c>
    </row>
    <row r="20" ht="24" customHeight="1" spans="1:3">
      <c r="A20" s="67" t="s">
        <v>1315</v>
      </c>
      <c r="B20" s="68">
        <v>0.1905</v>
      </c>
      <c r="C20" s="68">
        <v>0.1905</v>
      </c>
    </row>
    <row r="21" ht="24" customHeight="1" spans="1:3">
      <c r="A21" s="67" t="s">
        <v>1317</v>
      </c>
      <c r="B21" s="68">
        <v>2.56</v>
      </c>
      <c r="C21" s="69">
        <v>2.56</v>
      </c>
    </row>
  </sheetData>
  <mergeCells count="2">
    <mergeCell ref="A2:C2"/>
    <mergeCell ref="A3:C3"/>
  </mergeCells>
  <printOptions horizontalCentered="1"/>
  <pageMargins left="0.59" right="0.59" top="0.79" bottom="0.79" header="0.16" footer="0.51"/>
  <pageSetup paperSize="9"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E13" sqref="E13"/>
    </sheetView>
  </sheetViews>
  <sheetFormatPr defaultColWidth="9" defaultRowHeight="13.5" outlineLevelRow="5" outlineLevelCol="6"/>
  <cols>
    <col min="1" max="7" width="16.5" style="47" customWidth="1"/>
    <col min="8" max="16384" width="9" style="47"/>
  </cols>
  <sheetData>
    <row r="1" ht="16.5" spans="1:7">
      <c r="A1" s="48" t="s">
        <v>1322</v>
      </c>
      <c r="B1" s="48"/>
    </row>
    <row r="2" ht="20.25" spans="1:7">
      <c r="A2" s="59" t="s">
        <v>1323</v>
      </c>
      <c r="B2" s="59"/>
      <c r="C2" s="59"/>
      <c r="D2" s="59"/>
      <c r="E2" s="59"/>
      <c r="F2" s="59"/>
      <c r="G2" s="59"/>
    </row>
    <row r="3" ht="27" customHeight="1" spans="1:7">
      <c r="A3" s="60" t="s">
        <v>1284</v>
      </c>
      <c r="B3" s="60"/>
      <c r="C3" s="60"/>
      <c r="D3" s="60"/>
      <c r="E3" s="60"/>
      <c r="F3" s="60"/>
      <c r="G3" s="60"/>
    </row>
    <row r="4" ht="30" customHeight="1" spans="1:7">
      <c r="A4" s="61" t="s">
        <v>1324</v>
      </c>
      <c r="B4" s="62" t="s">
        <v>1286</v>
      </c>
      <c r="C4" s="62"/>
      <c r="D4" s="62"/>
      <c r="E4" s="63" t="s">
        <v>1325</v>
      </c>
      <c r="F4" s="63"/>
      <c r="G4" s="63"/>
    </row>
    <row r="5" ht="28" customHeight="1" spans="1:7">
      <c r="A5" s="61"/>
      <c r="B5" s="64" t="s">
        <v>570</v>
      </c>
      <c r="C5" s="64" t="s">
        <v>1288</v>
      </c>
      <c r="D5" s="64" t="s">
        <v>1289</v>
      </c>
      <c r="E5" s="63" t="s">
        <v>570</v>
      </c>
      <c r="F5" s="63" t="s">
        <v>1326</v>
      </c>
      <c r="G5" s="63" t="s">
        <v>1327</v>
      </c>
    </row>
    <row r="6" ht="28" customHeight="1" spans="1:7">
      <c r="A6" s="65" t="s">
        <v>1328</v>
      </c>
      <c r="B6" s="66">
        <v>88.7</v>
      </c>
      <c r="C6" s="66">
        <v>24.7</v>
      </c>
      <c r="D6" s="66">
        <v>64</v>
      </c>
      <c r="E6" s="66">
        <v>18.2</v>
      </c>
      <c r="F6" s="66">
        <v>0</v>
      </c>
      <c r="G6" s="66">
        <v>18.2</v>
      </c>
    </row>
  </sheetData>
  <mergeCells count="5">
    <mergeCell ref="A2:G2"/>
    <mergeCell ref="A3:G3"/>
    <mergeCell ref="B4:D4"/>
    <mergeCell ref="E4:G4"/>
    <mergeCell ref="A4:A5"/>
  </mergeCells>
  <printOptions horizontalCentered="1"/>
  <pageMargins left="0.59" right="0.59" top="0.79" bottom="0.79" header="0.16" footer="0.51"/>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9"/>
  <sheetViews>
    <sheetView zoomScale="85" zoomScaleNormal="85" workbookViewId="0">
      <pane ySplit="5" topLeftCell="A245" activePane="bottomLeft" state="frozen"/>
      <selection/>
      <selection pane="bottomLeft" activeCell="K248" sqref="K248"/>
    </sheetView>
  </sheetViews>
  <sheetFormatPr defaultColWidth="9" defaultRowHeight="22.5" customHeight="1"/>
  <cols>
    <col min="1" max="1" width="10.5" style="291" hidden="1" customWidth="1"/>
    <col min="2" max="2" width="27.375" style="293" customWidth="1"/>
    <col min="3" max="3" width="12.75" style="290" hidden="1" customWidth="1"/>
    <col min="4" max="4" width="0.875" style="291" hidden="1" customWidth="1"/>
    <col min="5" max="6" width="12.625" style="291" hidden="1" customWidth="1"/>
    <col min="7" max="7" width="10.625" style="291" hidden="1" customWidth="1"/>
    <col min="8" max="8" width="14.625" style="291" customWidth="1"/>
    <col min="9" max="9" width="13.5" style="291" customWidth="1"/>
    <col min="10" max="10" width="16.125" style="292" customWidth="1"/>
    <col min="11" max="11" width="49.25" style="296" customWidth="1"/>
    <col min="12" max="12" width="3.5" style="291" hidden="1" customWidth="1"/>
    <col min="13" max="13" width="3.625" style="291" hidden="1" customWidth="1"/>
    <col min="14" max="14" width="2.125" style="291" customWidth="1"/>
    <col min="15" max="251" width="9" style="291" customWidth="1"/>
  </cols>
  <sheetData>
    <row r="1" s="290" customFormat="1" ht="18" customHeight="1" spans="1:13">
      <c r="A1" s="478"/>
      <c r="B1" s="297" t="s">
        <v>36</v>
      </c>
      <c r="C1" s="479"/>
      <c r="D1" s="478"/>
      <c r="E1" s="478"/>
      <c r="F1" s="478"/>
      <c r="G1" s="478"/>
      <c r="H1" s="478"/>
      <c r="I1" s="478"/>
      <c r="J1" s="480"/>
      <c r="K1" s="296"/>
      <c r="L1" s="478"/>
      <c r="M1" s="479"/>
    </row>
    <row r="2" s="291" customFormat="1" ht="53.25" customHeight="1" spans="1:13">
      <c r="A2" s="478"/>
      <c r="B2" s="481" t="s">
        <v>37</v>
      </c>
      <c r="C2" s="482"/>
      <c r="D2" s="482"/>
      <c r="E2" s="482"/>
      <c r="F2" s="482"/>
      <c r="G2" s="482"/>
      <c r="H2" s="482"/>
      <c r="I2" s="482"/>
      <c r="J2" s="483"/>
      <c r="K2" s="302"/>
      <c r="L2" s="478"/>
      <c r="M2" s="478"/>
    </row>
    <row r="3" s="291" customFormat="1" ht="18.75" customHeight="1" spans="1:13">
      <c r="A3" s="478"/>
      <c r="B3" s="484"/>
      <c r="C3" s="479"/>
      <c r="D3" s="478"/>
      <c r="E3" s="478"/>
      <c r="F3" s="478"/>
      <c r="G3" s="478"/>
      <c r="H3" s="478"/>
      <c r="I3" s="478"/>
      <c r="J3" s="480"/>
      <c r="K3" s="304" t="s">
        <v>38</v>
      </c>
      <c r="L3" s="478"/>
      <c r="M3" s="478"/>
    </row>
    <row r="4" s="291" customFormat="1" ht="81" customHeight="1" spans="1:13">
      <c r="A4" s="305" t="s">
        <v>39</v>
      </c>
      <c r="B4" s="306" t="s">
        <v>40</v>
      </c>
      <c r="C4" s="485" t="s">
        <v>41</v>
      </c>
      <c r="D4" s="485" t="s">
        <v>42</v>
      </c>
      <c r="E4" s="485" t="s">
        <v>4</v>
      </c>
      <c r="F4" s="485" t="s">
        <v>43</v>
      </c>
      <c r="G4" s="485" t="s">
        <v>44</v>
      </c>
      <c r="H4" s="307" t="s">
        <v>5</v>
      </c>
      <c r="I4" s="307" t="s">
        <v>6</v>
      </c>
      <c r="J4" s="486" t="s">
        <v>7</v>
      </c>
      <c r="K4" s="309" t="s">
        <v>45</v>
      </c>
      <c r="L4" s="305" t="s">
        <v>46</v>
      </c>
      <c r="M4" s="478"/>
    </row>
    <row r="5" s="291" customFormat="1" ht="24.95" customHeight="1" spans="1:13">
      <c r="A5" s="310">
        <v>201</v>
      </c>
      <c r="B5" s="311" t="s">
        <v>47</v>
      </c>
      <c r="C5" s="487">
        <v>175486</v>
      </c>
      <c r="D5" s="313"/>
      <c r="E5" s="312">
        <f t="shared" ref="E5:E10" si="0">C5+D5</f>
        <v>175486</v>
      </c>
      <c r="F5" s="313">
        <v>6918.159</v>
      </c>
      <c r="G5" s="313"/>
      <c r="H5" s="312">
        <f t="shared" ref="H5:H59" si="1">E5-F5-G5</f>
        <v>168567.841</v>
      </c>
      <c r="I5" s="312">
        <f>I6+I14+I20+I27+I35+I43+I51+I55+I61+I67+I71+I78+I82+I86+I88+I90+I93+I95+I101+I107+I111+I115+I119+I123+I125+I132</f>
        <v>169610</v>
      </c>
      <c r="J5" s="488">
        <f>I5/H5-1</f>
        <v>0.0061824307282905</v>
      </c>
      <c r="K5" s="313"/>
      <c r="L5" s="316">
        <f t="shared" ref="L5:L59" si="2">LEN(A5)</f>
        <v>3</v>
      </c>
      <c r="M5" s="478"/>
    </row>
    <row r="6" s="291" customFormat="1" ht="24.95" customHeight="1" spans="1:13">
      <c r="A6" s="310">
        <v>20101</v>
      </c>
      <c r="B6" s="317" t="s">
        <v>48</v>
      </c>
      <c r="C6" s="489">
        <v>2960</v>
      </c>
      <c r="D6" s="490"/>
      <c r="E6" s="318">
        <f t="shared" si="0"/>
        <v>2960</v>
      </c>
      <c r="F6" s="490"/>
      <c r="G6" s="318"/>
      <c r="H6" s="318">
        <f t="shared" si="1"/>
        <v>2960</v>
      </c>
      <c r="I6" s="318">
        <f>SUM(I7:I13)</f>
        <v>3291</v>
      </c>
      <c r="J6" s="491">
        <f t="shared" ref="J6:J69" si="3">I6/H6-1</f>
        <v>0.111824324324324</v>
      </c>
      <c r="K6" s="318"/>
      <c r="L6" s="316">
        <f t="shared" si="2"/>
        <v>5</v>
      </c>
      <c r="M6" s="478"/>
    </row>
    <row r="7" s="291" customFormat="1" ht="24.95" customHeight="1" spans="1:13">
      <c r="A7" s="310">
        <v>2010101</v>
      </c>
      <c r="B7" s="321" t="s">
        <v>49</v>
      </c>
      <c r="C7" s="492">
        <v>1504</v>
      </c>
      <c r="D7" s="322"/>
      <c r="E7" s="322">
        <f t="shared" si="0"/>
        <v>1504</v>
      </c>
      <c r="F7" s="322"/>
      <c r="G7" s="493"/>
      <c r="H7" s="322">
        <f t="shared" si="1"/>
        <v>1504</v>
      </c>
      <c r="I7" s="322">
        <v>1752</v>
      </c>
      <c r="J7" s="494">
        <f t="shared" si="3"/>
        <v>0.164893617021277</v>
      </c>
      <c r="K7" s="326"/>
      <c r="L7" s="316">
        <f t="shared" si="2"/>
        <v>7</v>
      </c>
      <c r="M7" s="478"/>
    </row>
    <row r="8" s="291" customFormat="1" ht="24.95" customHeight="1" spans="1:13">
      <c r="A8" s="310">
        <v>2010102</v>
      </c>
      <c r="B8" s="321" t="s">
        <v>50</v>
      </c>
      <c r="C8" s="492">
        <v>744</v>
      </c>
      <c r="D8" s="322"/>
      <c r="E8" s="322">
        <f t="shared" si="0"/>
        <v>744</v>
      </c>
      <c r="F8" s="322"/>
      <c r="G8" s="493"/>
      <c r="H8" s="322">
        <f t="shared" si="1"/>
        <v>744</v>
      </c>
      <c r="I8" s="322">
        <v>729</v>
      </c>
      <c r="J8" s="494">
        <f t="shared" si="3"/>
        <v>-0.0201612903225806</v>
      </c>
      <c r="K8" s="326"/>
      <c r="L8" s="316">
        <f t="shared" si="2"/>
        <v>7</v>
      </c>
      <c r="M8" s="478"/>
    </row>
    <row r="9" s="291" customFormat="1" ht="24.95" customHeight="1" spans="1:13">
      <c r="A9" s="310">
        <v>2010104</v>
      </c>
      <c r="B9" s="321" t="s">
        <v>51</v>
      </c>
      <c r="C9" s="492">
        <v>87</v>
      </c>
      <c r="D9" s="322"/>
      <c r="E9" s="322">
        <f t="shared" si="0"/>
        <v>87</v>
      </c>
      <c r="F9" s="322"/>
      <c r="G9" s="493"/>
      <c r="H9" s="322">
        <f t="shared" si="1"/>
        <v>87</v>
      </c>
      <c r="I9" s="322">
        <v>89</v>
      </c>
      <c r="J9" s="494">
        <f t="shared" si="3"/>
        <v>0.0229885057471264</v>
      </c>
      <c r="K9" s="326"/>
      <c r="L9" s="316">
        <f t="shared" si="2"/>
        <v>7</v>
      </c>
      <c r="M9" s="478"/>
    </row>
    <row r="10" s="291" customFormat="1" ht="24.95" customHeight="1" spans="1:13">
      <c r="A10" s="310">
        <v>2010106</v>
      </c>
      <c r="B10" s="321" t="s">
        <v>52</v>
      </c>
      <c r="C10" s="492">
        <v>104</v>
      </c>
      <c r="D10" s="322"/>
      <c r="E10" s="322">
        <f t="shared" si="0"/>
        <v>104</v>
      </c>
      <c r="F10" s="322"/>
      <c r="G10" s="493"/>
      <c r="H10" s="322">
        <f t="shared" si="1"/>
        <v>104</v>
      </c>
      <c r="I10" s="322">
        <v>95</v>
      </c>
      <c r="J10" s="494">
        <f t="shared" si="3"/>
        <v>-0.0865384615384616</v>
      </c>
      <c r="K10" s="326"/>
      <c r="L10" s="316">
        <f t="shared" si="2"/>
        <v>7</v>
      </c>
      <c r="M10" s="478"/>
    </row>
    <row r="11" s="291" customFormat="1" ht="24.95" customHeight="1" spans="1:13">
      <c r="A11" s="310">
        <v>2010107</v>
      </c>
      <c r="B11" s="327" t="s">
        <v>53</v>
      </c>
      <c r="C11" s="492"/>
      <c r="D11" s="322"/>
      <c r="E11" s="322">
        <v>0</v>
      </c>
      <c r="F11" s="322"/>
      <c r="G11" s="493"/>
      <c r="H11" s="322"/>
      <c r="I11" s="322"/>
      <c r="J11" s="495">
        <v>0</v>
      </c>
      <c r="K11" s="326"/>
      <c r="L11" s="316">
        <f t="shared" si="2"/>
        <v>7</v>
      </c>
      <c r="M11" s="478" t="s">
        <v>54</v>
      </c>
    </row>
    <row r="12" s="291" customFormat="1" ht="24.95" customHeight="1" spans="1:13">
      <c r="A12" s="310">
        <v>2010108</v>
      </c>
      <c r="B12" s="321" t="s">
        <v>55</v>
      </c>
      <c r="C12" s="492">
        <v>260</v>
      </c>
      <c r="D12" s="322"/>
      <c r="E12" s="322">
        <f t="shared" ref="E12:E31" si="4">C12+D12</f>
        <v>260</v>
      </c>
      <c r="F12" s="322"/>
      <c r="G12" s="493"/>
      <c r="H12" s="322">
        <f t="shared" si="1"/>
        <v>260</v>
      </c>
      <c r="I12" s="322">
        <v>257</v>
      </c>
      <c r="J12" s="494">
        <f t="shared" si="3"/>
        <v>-0.0115384615384615</v>
      </c>
      <c r="K12" s="326"/>
      <c r="L12" s="316">
        <f t="shared" si="2"/>
        <v>7</v>
      </c>
      <c r="M12" s="478"/>
    </row>
    <row r="13" s="291" customFormat="1" ht="24.95" customHeight="1" spans="1:13">
      <c r="A13" s="310">
        <v>2010199</v>
      </c>
      <c r="B13" s="321" t="s">
        <v>56</v>
      </c>
      <c r="C13" s="492">
        <v>261</v>
      </c>
      <c r="D13" s="322"/>
      <c r="E13" s="322">
        <f t="shared" si="4"/>
        <v>261</v>
      </c>
      <c r="F13" s="322"/>
      <c r="G13" s="322"/>
      <c r="H13" s="322">
        <f t="shared" si="1"/>
        <v>261</v>
      </c>
      <c r="I13" s="322">
        <v>369</v>
      </c>
      <c r="J13" s="494">
        <f t="shared" si="3"/>
        <v>0.413793103448276</v>
      </c>
      <c r="K13" s="326"/>
      <c r="L13" s="316">
        <f t="shared" si="2"/>
        <v>7</v>
      </c>
      <c r="M13" s="478"/>
    </row>
    <row r="14" s="291" customFormat="1" ht="24.95" customHeight="1" spans="1:13">
      <c r="A14" s="310">
        <v>20102</v>
      </c>
      <c r="B14" s="317" t="s">
        <v>57</v>
      </c>
      <c r="C14" s="489">
        <v>2143</v>
      </c>
      <c r="D14" s="490"/>
      <c r="E14" s="318">
        <f t="shared" si="4"/>
        <v>2143</v>
      </c>
      <c r="F14" s="490"/>
      <c r="G14" s="490"/>
      <c r="H14" s="318">
        <f t="shared" si="1"/>
        <v>2143</v>
      </c>
      <c r="I14" s="318">
        <f>SUM(I15:I19)</f>
        <v>2482</v>
      </c>
      <c r="J14" s="491">
        <f t="shared" si="3"/>
        <v>0.158189454036398</v>
      </c>
      <c r="K14" s="318"/>
      <c r="L14" s="316">
        <f t="shared" si="2"/>
        <v>5</v>
      </c>
      <c r="M14" s="478"/>
    </row>
    <row r="15" s="291" customFormat="1" ht="36.95" customHeight="1" spans="1:13">
      <c r="A15" s="310">
        <v>2010201</v>
      </c>
      <c r="B15" s="321" t="s">
        <v>49</v>
      </c>
      <c r="C15" s="492">
        <v>1008</v>
      </c>
      <c r="D15" s="322"/>
      <c r="E15" s="322">
        <f t="shared" si="4"/>
        <v>1008</v>
      </c>
      <c r="F15" s="322"/>
      <c r="G15" s="322"/>
      <c r="H15" s="322">
        <f t="shared" si="1"/>
        <v>1008</v>
      </c>
      <c r="I15" s="322">
        <v>1371</v>
      </c>
      <c r="J15" s="494">
        <f t="shared" si="3"/>
        <v>0.360119047619048</v>
      </c>
      <c r="K15" s="326" t="s">
        <v>58</v>
      </c>
      <c r="L15" s="316">
        <f t="shared" si="2"/>
        <v>7</v>
      </c>
      <c r="M15" s="478"/>
    </row>
    <row r="16" s="291" customFormat="1" ht="24.95" customHeight="1" spans="1:13">
      <c r="A16" s="310">
        <v>2010202</v>
      </c>
      <c r="B16" s="321" t="s">
        <v>50</v>
      </c>
      <c r="C16" s="492">
        <v>103</v>
      </c>
      <c r="D16" s="322"/>
      <c r="E16" s="322">
        <f t="shared" si="4"/>
        <v>103</v>
      </c>
      <c r="F16" s="322"/>
      <c r="G16" s="322"/>
      <c r="H16" s="322">
        <f t="shared" si="1"/>
        <v>103</v>
      </c>
      <c r="I16" s="322">
        <v>108</v>
      </c>
      <c r="J16" s="494">
        <f t="shared" si="3"/>
        <v>0.0485436893203883</v>
      </c>
      <c r="K16" s="326"/>
      <c r="L16" s="316">
        <f t="shared" si="2"/>
        <v>7</v>
      </c>
      <c r="M16" s="478"/>
    </row>
    <row r="17" s="291" customFormat="1" ht="24.95" customHeight="1" spans="1:13">
      <c r="A17" s="310">
        <v>2010204</v>
      </c>
      <c r="B17" s="321" t="s">
        <v>59</v>
      </c>
      <c r="C17" s="492">
        <v>55</v>
      </c>
      <c r="D17" s="322"/>
      <c r="E17" s="322">
        <f t="shared" si="4"/>
        <v>55</v>
      </c>
      <c r="F17" s="322"/>
      <c r="G17" s="493"/>
      <c r="H17" s="322">
        <f t="shared" si="1"/>
        <v>55</v>
      </c>
      <c r="I17" s="322">
        <v>45</v>
      </c>
      <c r="J17" s="494">
        <f t="shared" si="3"/>
        <v>-0.181818181818182</v>
      </c>
      <c r="K17" s="326"/>
      <c r="L17" s="316">
        <f t="shared" si="2"/>
        <v>7</v>
      </c>
      <c r="M17" s="478"/>
    </row>
    <row r="18" s="291" customFormat="1" ht="24.95" customHeight="1" spans="1:13">
      <c r="A18" s="310">
        <v>2010205</v>
      </c>
      <c r="B18" s="321" t="s">
        <v>60</v>
      </c>
      <c r="C18" s="492">
        <v>695</v>
      </c>
      <c r="D18" s="322"/>
      <c r="E18" s="322">
        <f t="shared" si="4"/>
        <v>695</v>
      </c>
      <c r="F18" s="322"/>
      <c r="G18" s="493"/>
      <c r="H18" s="322">
        <f t="shared" si="1"/>
        <v>695</v>
      </c>
      <c r="I18" s="322">
        <v>693</v>
      </c>
      <c r="J18" s="494">
        <f t="shared" si="3"/>
        <v>-0.00287769784172665</v>
      </c>
      <c r="K18" s="326"/>
      <c r="L18" s="316">
        <f t="shared" si="2"/>
        <v>7</v>
      </c>
      <c r="M18" s="478"/>
    </row>
    <row r="19" s="291" customFormat="1" ht="24.95" customHeight="1" spans="1:13">
      <c r="A19" s="310">
        <v>2010206</v>
      </c>
      <c r="B19" s="321" t="s">
        <v>61</v>
      </c>
      <c r="C19" s="492">
        <v>282</v>
      </c>
      <c r="D19" s="322"/>
      <c r="E19" s="322">
        <f t="shared" si="4"/>
        <v>282</v>
      </c>
      <c r="F19" s="322"/>
      <c r="G19" s="493"/>
      <c r="H19" s="322">
        <f t="shared" si="1"/>
        <v>282</v>
      </c>
      <c r="I19" s="322">
        <v>265</v>
      </c>
      <c r="J19" s="494">
        <f t="shared" si="3"/>
        <v>-0.0602836879432624</v>
      </c>
      <c r="K19" s="326"/>
      <c r="L19" s="316">
        <f t="shared" si="2"/>
        <v>7</v>
      </c>
      <c r="M19" s="478"/>
    </row>
    <row r="20" s="291" customFormat="1" ht="45" customHeight="1" spans="1:13">
      <c r="A20" s="310">
        <v>20103</v>
      </c>
      <c r="B20" s="317" t="s">
        <v>62</v>
      </c>
      <c r="C20" s="489">
        <v>26853</v>
      </c>
      <c r="D20" s="490"/>
      <c r="E20" s="318">
        <f t="shared" si="4"/>
        <v>26853</v>
      </c>
      <c r="F20" s="490"/>
      <c r="G20" s="490"/>
      <c r="H20" s="318">
        <f t="shared" si="1"/>
        <v>26853</v>
      </c>
      <c r="I20" s="318">
        <f>SUM(I21:I26)</f>
        <v>28083</v>
      </c>
      <c r="J20" s="491">
        <f t="shared" si="3"/>
        <v>0.0458049379957546</v>
      </c>
      <c r="K20" s="318"/>
      <c r="L20" s="316">
        <f t="shared" si="2"/>
        <v>5</v>
      </c>
      <c r="M20" s="478"/>
    </row>
    <row r="21" s="291" customFormat="1" ht="24.95" customHeight="1" spans="1:13">
      <c r="A21" s="310">
        <v>2010301</v>
      </c>
      <c r="B21" s="321" t="s">
        <v>49</v>
      </c>
      <c r="C21" s="492">
        <v>15684</v>
      </c>
      <c r="D21" s="322"/>
      <c r="E21" s="322">
        <f t="shared" si="4"/>
        <v>15684</v>
      </c>
      <c r="F21" s="322"/>
      <c r="G21" s="493"/>
      <c r="H21" s="322">
        <f t="shared" si="1"/>
        <v>15684</v>
      </c>
      <c r="I21" s="322">
        <v>16510</v>
      </c>
      <c r="J21" s="494">
        <f t="shared" si="3"/>
        <v>0.0526651364447845</v>
      </c>
      <c r="K21" s="326"/>
      <c r="L21" s="316">
        <f t="shared" si="2"/>
        <v>7</v>
      </c>
      <c r="M21" s="478"/>
    </row>
    <row r="22" s="291" customFormat="1" ht="24.95" customHeight="1" spans="1:13">
      <c r="A22" s="310">
        <v>2010302</v>
      </c>
      <c r="B22" s="321" t="s">
        <v>50</v>
      </c>
      <c r="C22" s="492">
        <v>3974</v>
      </c>
      <c r="D22" s="322"/>
      <c r="E22" s="322">
        <f t="shared" si="4"/>
        <v>3974</v>
      </c>
      <c r="F22" s="322"/>
      <c r="G22" s="493"/>
      <c r="H22" s="322">
        <f t="shared" si="1"/>
        <v>3974</v>
      </c>
      <c r="I22" s="322">
        <v>4005</v>
      </c>
      <c r="J22" s="494">
        <f t="shared" si="3"/>
        <v>0.00780070457976856</v>
      </c>
      <c r="K22" s="326"/>
      <c r="L22" s="316">
        <f t="shared" si="2"/>
        <v>7</v>
      </c>
      <c r="M22" s="478"/>
    </row>
    <row r="23" s="291" customFormat="1" ht="24.95" customHeight="1" spans="1:13">
      <c r="A23" s="310">
        <v>2010303</v>
      </c>
      <c r="B23" s="321" t="s">
        <v>63</v>
      </c>
      <c r="C23" s="492">
        <v>2217</v>
      </c>
      <c r="D23" s="322"/>
      <c r="E23" s="322">
        <f t="shared" si="4"/>
        <v>2217</v>
      </c>
      <c r="F23" s="322"/>
      <c r="G23" s="493"/>
      <c r="H23" s="322">
        <f t="shared" si="1"/>
        <v>2217</v>
      </c>
      <c r="I23" s="322">
        <v>2261</v>
      </c>
      <c r="J23" s="494">
        <f t="shared" si="3"/>
        <v>0.0198466396030672</v>
      </c>
      <c r="K23" s="326"/>
      <c r="L23" s="316">
        <f t="shared" si="2"/>
        <v>7</v>
      </c>
      <c r="M23" s="478"/>
    </row>
    <row r="24" s="291" customFormat="1" ht="24.95" customHeight="1" spans="1:13">
      <c r="A24" s="310">
        <v>2010308</v>
      </c>
      <c r="B24" s="321" t="s">
        <v>64</v>
      </c>
      <c r="C24" s="492">
        <v>748</v>
      </c>
      <c r="D24" s="322"/>
      <c r="E24" s="322">
        <f t="shared" si="4"/>
        <v>748</v>
      </c>
      <c r="F24" s="322"/>
      <c r="G24" s="493"/>
      <c r="H24" s="322">
        <f t="shared" si="1"/>
        <v>748</v>
      </c>
      <c r="I24" s="322">
        <v>724</v>
      </c>
      <c r="J24" s="494">
        <f t="shared" si="3"/>
        <v>-0.0320855614973262</v>
      </c>
      <c r="K24" s="326"/>
      <c r="L24" s="316">
        <f t="shared" si="2"/>
        <v>7</v>
      </c>
      <c r="M24" s="478"/>
    </row>
    <row r="25" s="291" customFormat="1" ht="24.95" customHeight="1" spans="1:13">
      <c r="A25" s="310">
        <v>2010350</v>
      </c>
      <c r="B25" s="321" t="s">
        <v>65</v>
      </c>
      <c r="C25" s="492">
        <v>3818</v>
      </c>
      <c r="D25" s="322"/>
      <c r="E25" s="322">
        <f t="shared" si="4"/>
        <v>3818</v>
      </c>
      <c r="F25" s="322"/>
      <c r="G25" s="493"/>
      <c r="H25" s="322">
        <f t="shared" si="1"/>
        <v>3818</v>
      </c>
      <c r="I25" s="322">
        <v>4260</v>
      </c>
      <c r="J25" s="494">
        <f t="shared" si="3"/>
        <v>0.115767417496071</v>
      </c>
      <c r="K25" s="326"/>
      <c r="L25" s="316">
        <f t="shared" si="2"/>
        <v>7</v>
      </c>
      <c r="M25" s="478"/>
    </row>
    <row r="26" s="291" customFormat="1" ht="47.1" customHeight="1" spans="1:13">
      <c r="A26" s="310">
        <v>2010399</v>
      </c>
      <c r="B26" s="321" t="s">
        <v>66</v>
      </c>
      <c r="C26" s="492">
        <v>412</v>
      </c>
      <c r="D26" s="322"/>
      <c r="E26" s="322">
        <f t="shared" si="4"/>
        <v>412</v>
      </c>
      <c r="F26" s="322"/>
      <c r="G26" s="493"/>
      <c r="H26" s="322">
        <f t="shared" si="1"/>
        <v>412</v>
      </c>
      <c r="I26" s="322">
        <v>323</v>
      </c>
      <c r="J26" s="494">
        <f t="shared" si="3"/>
        <v>-0.216019417475728</v>
      </c>
      <c r="K26" s="326"/>
      <c r="L26" s="316">
        <f t="shared" si="2"/>
        <v>7</v>
      </c>
      <c r="M26" s="478"/>
    </row>
    <row r="27" s="291" customFormat="1" ht="24.95" customHeight="1" spans="1:13">
      <c r="A27" s="310">
        <v>20104</v>
      </c>
      <c r="B27" s="317" t="s">
        <v>67</v>
      </c>
      <c r="C27" s="489">
        <v>3216</v>
      </c>
      <c r="D27" s="490"/>
      <c r="E27" s="318">
        <f t="shared" si="4"/>
        <v>3216</v>
      </c>
      <c r="F27" s="490"/>
      <c r="G27" s="490"/>
      <c r="H27" s="318">
        <f t="shared" si="1"/>
        <v>3216</v>
      </c>
      <c r="I27" s="318">
        <f>SUM(I28:I34)</f>
        <v>4809</v>
      </c>
      <c r="J27" s="491">
        <f t="shared" si="3"/>
        <v>0.495335820895522</v>
      </c>
      <c r="K27" s="318"/>
      <c r="L27" s="316">
        <f t="shared" si="2"/>
        <v>5</v>
      </c>
      <c r="M27" s="478"/>
    </row>
    <row r="28" s="291" customFormat="1" ht="24.95" customHeight="1" spans="1:13">
      <c r="A28" s="310">
        <v>2010401</v>
      </c>
      <c r="B28" s="321" t="s">
        <v>49</v>
      </c>
      <c r="C28" s="492">
        <v>2749</v>
      </c>
      <c r="D28" s="322"/>
      <c r="E28" s="322">
        <f t="shared" si="4"/>
        <v>2749</v>
      </c>
      <c r="F28" s="322"/>
      <c r="G28" s="493"/>
      <c r="H28" s="322">
        <f t="shared" si="1"/>
        <v>2749</v>
      </c>
      <c r="I28" s="322">
        <v>3164</v>
      </c>
      <c r="J28" s="494">
        <f t="shared" si="3"/>
        <v>0.150963986904329</v>
      </c>
      <c r="K28" s="326"/>
      <c r="L28" s="316">
        <f t="shared" si="2"/>
        <v>7</v>
      </c>
      <c r="M28" s="478"/>
    </row>
    <row r="29" s="291" customFormat="1" ht="24.95" customHeight="1" spans="1:13">
      <c r="A29" s="310">
        <v>2010402</v>
      </c>
      <c r="B29" s="321" t="s">
        <v>50</v>
      </c>
      <c r="C29" s="492">
        <v>217</v>
      </c>
      <c r="D29" s="322"/>
      <c r="E29" s="322">
        <f t="shared" si="4"/>
        <v>217</v>
      </c>
      <c r="F29" s="322"/>
      <c r="G29" s="493"/>
      <c r="H29" s="322">
        <f t="shared" si="1"/>
        <v>217</v>
      </c>
      <c r="I29" s="322">
        <v>326</v>
      </c>
      <c r="J29" s="494">
        <f t="shared" si="3"/>
        <v>0.502304147465438</v>
      </c>
      <c r="K29" s="326" t="s">
        <v>68</v>
      </c>
      <c r="L29" s="316">
        <f t="shared" si="2"/>
        <v>7</v>
      </c>
      <c r="M29" s="478"/>
    </row>
    <row r="30" s="291" customFormat="1" ht="24.95" customHeight="1" spans="1:13">
      <c r="A30" s="310">
        <v>2010404</v>
      </c>
      <c r="B30" s="321" t="s">
        <v>69</v>
      </c>
      <c r="C30" s="492">
        <v>20</v>
      </c>
      <c r="D30" s="322"/>
      <c r="E30" s="322">
        <f t="shared" si="4"/>
        <v>20</v>
      </c>
      <c r="F30" s="322"/>
      <c r="G30" s="493"/>
      <c r="H30" s="322">
        <f t="shared" si="1"/>
        <v>20</v>
      </c>
      <c r="I30" s="322">
        <v>24</v>
      </c>
      <c r="J30" s="494">
        <f t="shared" si="3"/>
        <v>0.2</v>
      </c>
      <c r="K30" s="326"/>
      <c r="L30" s="316">
        <f t="shared" si="2"/>
        <v>7</v>
      </c>
      <c r="M30" s="478"/>
    </row>
    <row r="31" s="291" customFormat="1" ht="24.95" customHeight="1" spans="1:13">
      <c r="A31" s="310">
        <v>2010405</v>
      </c>
      <c r="B31" s="321" t="s">
        <v>70</v>
      </c>
      <c r="C31" s="492">
        <v>180</v>
      </c>
      <c r="D31" s="322"/>
      <c r="E31" s="322">
        <f t="shared" si="4"/>
        <v>180</v>
      </c>
      <c r="F31" s="322"/>
      <c r="G31" s="493"/>
      <c r="H31" s="322">
        <f t="shared" si="1"/>
        <v>180</v>
      </c>
      <c r="I31" s="322">
        <v>131</v>
      </c>
      <c r="J31" s="494">
        <f t="shared" si="3"/>
        <v>-0.272222222222222</v>
      </c>
      <c r="K31" s="326"/>
      <c r="L31" s="316">
        <f t="shared" si="2"/>
        <v>7</v>
      </c>
      <c r="M31" s="478"/>
    </row>
    <row r="32" s="291" customFormat="1" ht="24.95" customHeight="1" spans="1:13">
      <c r="A32" s="310">
        <v>2010407</v>
      </c>
      <c r="B32" s="327" t="s">
        <v>71</v>
      </c>
      <c r="C32" s="492"/>
      <c r="D32" s="322"/>
      <c r="E32" s="322">
        <v>0</v>
      </c>
      <c r="F32" s="322"/>
      <c r="G32" s="322"/>
      <c r="H32" s="322"/>
      <c r="I32" s="322"/>
      <c r="J32" s="495">
        <v>0</v>
      </c>
      <c r="K32" s="326"/>
      <c r="L32" s="316">
        <f t="shared" si="2"/>
        <v>7</v>
      </c>
      <c r="M32" s="478"/>
    </row>
    <row r="33" s="291" customFormat="1" ht="56.1" customHeight="1" spans="1:13">
      <c r="A33" s="310">
        <v>2010408</v>
      </c>
      <c r="B33" s="321" t="s">
        <v>72</v>
      </c>
      <c r="C33" s="492">
        <v>50</v>
      </c>
      <c r="D33" s="322"/>
      <c r="E33" s="322">
        <f t="shared" ref="E33:E51" si="5">C33+D33</f>
        <v>50</v>
      </c>
      <c r="F33" s="322"/>
      <c r="G33" s="322"/>
      <c r="H33" s="322">
        <f t="shared" si="1"/>
        <v>50</v>
      </c>
      <c r="I33" s="322"/>
      <c r="J33" s="494">
        <f t="shared" si="3"/>
        <v>-1</v>
      </c>
      <c r="K33" s="326" t="s">
        <v>73</v>
      </c>
      <c r="L33" s="316">
        <f t="shared" si="2"/>
        <v>7</v>
      </c>
      <c r="M33" s="478"/>
    </row>
    <row r="34" s="291" customFormat="1" ht="24.95" customHeight="1" spans="1:13">
      <c r="A34" s="310">
        <v>2010499</v>
      </c>
      <c r="B34" s="327" t="s">
        <v>74</v>
      </c>
      <c r="C34" s="492"/>
      <c r="D34" s="322"/>
      <c r="E34" s="322">
        <v>0</v>
      </c>
      <c r="F34" s="322"/>
      <c r="G34" s="322"/>
      <c r="H34" s="322">
        <f t="shared" si="1"/>
        <v>0</v>
      </c>
      <c r="I34" s="322">
        <v>1164</v>
      </c>
      <c r="J34" s="495" t="s">
        <v>20</v>
      </c>
      <c r="K34" s="326"/>
      <c r="L34" s="316">
        <f t="shared" si="2"/>
        <v>7</v>
      </c>
      <c r="M34" s="478"/>
    </row>
    <row r="35" s="291" customFormat="1" ht="24.95" customHeight="1" spans="1:13">
      <c r="A35" s="310">
        <v>20105</v>
      </c>
      <c r="B35" s="317" t="s">
        <v>75</v>
      </c>
      <c r="C35" s="489">
        <v>6256</v>
      </c>
      <c r="D35" s="490"/>
      <c r="E35" s="318">
        <f t="shared" si="5"/>
        <v>6256</v>
      </c>
      <c r="F35" s="490"/>
      <c r="G35" s="490"/>
      <c r="H35" s="318">
        <f t="shared" si="1"/>
        <v>6256</v>
      </c>
      <c r="I35" s="318">
        <f>SUM(I36:I42)</f>
        <v>6124</v>
      </c>
      <c r="J35" s="491">
        <f t="shared" si="3"/>
        <v>-0.0210997442455243</v>
      </c>
      <c r="K35" s="318"/>
      <c r="L35" s="316">
        <f t="shared" si="2"/>
        <v>5</v>
      </c>
      <c r="M35" s="478"/>
    </row>
    <row r="36" s="291" customFormat="1" ht="24.95" customHeight="1" spans="1:13">
      <c r="A36" s="310">
        <v>2010501</v>
      </c>
      <c r="B36" s="321" t="s">
        <v>49</v>
      </c>
      <c r="C36" s="492">
        <v>1553</v>
      </c>
      <c r="D36" s="322"/>
      <c r="E36" s="322">
        <f t="shared" si="5"/>
        <v>1553</v>
      </c>
      <c r="F36" s="322"/>
      <c r="G36" s="493"/>
      <c r="H36" s="322">
        <f t="shared" si="1"/>
        <v>1553</v>
      </c>
      <c r="I36" s="322">
        <v>1766</v>
      </c>
      <c r="J36" s="494">
        <f t="shared" si="3"/>
        <v>0.137153895685769</v>
      </c>
      <c r="K36" s="326"/>
      <c r="L36" s="316">
        <f t="shared" si="2"/>
        <v>7</v>
      </c>
      <c r="M36" s="478"/>
    </row>
    <row r="37" s="291" customFormat="1" ht="24.95" customHeight="1" spans="1:13">
      <c r="A37" s="310">
        <v>2010502</v>
      </c>
      <c r="B37" s="321" t="s">
        <v>50</v>
      </c>
      <c r="C37" s="492">
        <v>104</v>
      </c>
      <c r="D37" s="322"/>
      <c r="E37" s="322">
        <f t="shared" si="5"/>
        <v>104</v>
      </c>
      <c r="F37" s="322"/>
      <c r="G37" s="493"/>
      <c r="H37" s="322">
        <f t="shared" si="1"/>
        <v>104</v>
      </c>
      <c r="I37" s="322">
        <v>96</v>
      </c>
      <c r="J37" s="494">
        <f t="shared" si="3"/>
        <v>-0.0769230769230769</v>
      </c>
      <c r="K37" s="326"/>
      <c r="L37" s="316">
        <f t="shared" si="2"/>
        <v>7</v>
      </c>
      <c r="M37" s="478"/>
    </row>
    <row r="38" s="291" customFormat="1" ht="24.95" customHeight="1" spans="1:13">
      <c r="A38" s="310">
        <v>2010504</v>
      </c>
      <c r="B38" s="321" t="s">
        <v>76</v>
      </c>
      <c r="C38" s="492">
        <v>1574</v>
      </c>
      <c r="D38" s="322"/>
      <c r="E38" s="322">
        <f t="shared" si="5"/>
        <v>1574</v>
      </c>
      <c r="F38" s="322"/>
      <c r="G38" s="493"/>
      <c r="H38" s="322">
        <f t="shared" si="1"/>
        <v>1574</v>
      </c>
      <c r="I38" s="322">
        <v>1389</v>
      </c>
      <c r="J38" s="494">
        <f t="shared" si="3"/>
        <v>-0.117534942820839</v>
      </c>
      <c r="K38" s="326"/>
      <c r="L38" s="316">
        <f t="shared" si="2"/>
        <v>7</v>
      </c>
      <c r="M38" s="478"/>
    </row>
    <row r="39" s="291" customFormat="1" ht="24.95" customHeight="1" spans="1:13">
      <c r="A39" s="310">
        <v>2010506</v>
      </c>
      <c r="B39" s="321" t="s">
        <v>77</v>
      </c>
      <c r="C39" s="492">
        <v>134</v>
      </c>
      <c r="D39" s="322"/>
      <c r="E39" s="322">
        <f t="shared" si="5"/>
        <v>134</v>
      </c>
      <c r="F39" s="322"/>
      <c r="G39" s="493"/>
      <c r="H39" s="322">
        <f t="shared" si="1"/>
        <v>134</v>
      </c>
      <c r="I39" s="322">
        <v>134</v>
      </c>
      <c r="J39" s="494">
        <f t="shared" si="3"/>
        <v>0</v>
      </c>
      <c r="K39" s="326"/>
      <c r="L39" s="316">
        <f t="shared" si="2"/>
        <v>7</v>
      </c>
      <c r="M39" s="478"/>
    </row>
    <row r="40" s="291" customFormat="1" ht="24.95" customHeight="1" spans="1:13">
      <c r="A40" s="310">
        <v>2010507</v>
      </c>
      <c r="B40" s="321" t="s">
        <v>78</v>
      </c>
      <c r="C40" s="492">
        <v>96</v>
      </c>
      <c r="D40" s="322"/>
      <c r="E40" s="322">
        <f t="shared" si="5"/>
        <v>96</v>
      </c>
      <c r="F40" s="322"/>
      <c r="G40" s="493"/>
      <c r="H40" s="322">
        <f t="shared" si="1"/>
        <v>96</v>
      </c>
      <c r="I40" s="322">
        <v>91</v>
      </c>
      <c r="J40" s="494">
        <f t="shared" si="3"/>
        <v>-0.0520833333333334</v>
      </c>
      <c r="K40" s="326"/>
      <c r="L40" s="316">
        <f t="shared" si="2"/>
        <v>7</v>
      </c>
      <c r="M40" s="478"/>
    </row>
    <row r="41" s="291" customFormat="1" ht="24.95" customHeight="1" spans="1:13">
      <c r="A41" s="310">
        <v>2010508</v>
      </c>
      <c r="B41" s="321" t="s">
        <v>79</v>
      </c>
      <c r="C41" s="492">
        <v>274</v>
      </c>
      <c r="D41" s="322"/>
      <c r="E41" s="322">
        <f t="shared" si="5"/>
        <v>274</v>
      </c>
      <c r="F41" s="322"/>
      <c r="G41" s="493"/>
      <c r="H41" s="322">
        <f t="shared" si="1"/>
        <v>274</v>
      </c>
      <c r="I41" s="322">
        <v>214</v>
      </c>
      <c r="J41" s="494">
        <f t="shared" si="3"/>
        <v>-0.218978102189781</v>
      </c>
      <c r="K41" s="326"/>
      <c r="L41" s="316">
        <f t="shared" si="2"/>
        <v>7</v>
      </c>
      <c r="M41" s="478"/>
    </row>
    <row r="42" s="291" customFormat="1" ht="24.95" customHeight="1" spans="1:13">
      <c r="A42" s="310">
        <v>2010599</v>
      </c>
      <c r="B42" s="321" t="s">
        <v>80</v>
      </c>
      <c r="C42" s="492">
        <v>2521</v>
      </c>
      <c r="D42" s="322"/>
      <c r="E42" s="322">
        <f t="shared" si="5"/>
        <v>2521</v>
      </c>
      <c r="F42" s="322"/>
      <c r="G42" s="493"/>
      <c r="H42" s="322">
        <f t="shared" si="1"/>
        <v>2521</v>
      </c>
      <c r="I42" s="322">
        <v>2434</v>
      </c>
      <c r="J42" s="494">
        <f t="shared" si="3"/>
        <v>-0.0345101150337168</v>
      </c>
      <c r="K42" s="326"/>
      <c r="L42" s="316">
        <f t="shared" si="2"/>
        <v>7</v>
      </c>
      <c r="M42" s="478"/>
    </row>
    <row r="43" s="291" customFormat="1" ht="24.95" customHeight="1" spans="1:13">
      <c r="A43" s="310">
        <v>20106</v>
      </c>
      <c r="B43" s="317" t="s">
        <v>81</v>
      </c>
      <c r="C43" s="489">
        <v>8538</v>
      </c>
      <c r="D43" s="490"/>
      <c r="E43" s="318">
        <f t="shared" si="5"/>
        <v>8538</v>
      </c>
      <c r="F43" s="490"/>
      <c r="G43" s="490"/>
      <c r="H43" s="318">
        <f t="shared" si="1"/>
        <v>8538</v>
      </c>
      <c r="I43" s="318">
        <f>SUM(I44:I50)</f>
        <v>13331</v>
      </c>
      <c r="J43" s="491">
        <f t="shared" si="3"/>
        <v>0.5613726868119</v>
      </c>
      <c r="K43" s="318"/>
      <c r="L43" s="316">
        <f t="shared" si="2"/>
        <v>5</v>
      </c>
      <c r="M43" s="478"/>
    </row>
    <row r="44" s="291" customFormat="1" ht="24.95" customHeight="1" spans="1:13">
      <c r="A44" s="310">
        <v>2010601</v>
      </c>
      <c r="B44" s="321" t="s">
        <v>49</v>
      </c>
      <c r="C44" s="492">
        <v>3050</v>
      </c>
      <c r="D44" s="322"/>
      <c r="E44" s="322">
        <f t="shared" si="5"/>
        <v>3050</v>
      </c>
      <c r="F44" s="322"/>
      <c r="G44" s="493"/>
      <c r="H44" s="322">
        <f t="shared" si="1"/>
        <v>3050</v>
      </c>
      <c r="I44" s="322">
        <v>3302</v>
      </c>
      <c r="J44" s="494">
        <f t="shared" si="3"/>
        <v>0.0826229508196721</v>
      </c>
      <c r="K44" s="326"/>
      <c r="L44" s="316">
        <f t="shared" si="2"/>
        <v>7</v>
      </c>
      <c r="M44" s="478"/>
    </row>
    <row r="45" s="291" customFormat="1" ht="51" customHeight="1" spans="1:13">
      <c r="A45" s="310">
        <v>2010602</v>
      </c>
      <c r="B45" s="321" t="s">
        <v>50</v>
      </c>
      <c r="C45" s="492">
        <v>193</v>
      </c>
      <c r="D45" s="322"/>
      <c r="E45" s="322">
        <f t="shared" si="5"/>
        <v>193</v>
      </c>
      <c r="F45" s="322"/>
      <c r="G45" s="493"/>
      <c r="H45" s="322">
        <f t="shared" si="1"/>
        <v>193</v>
      </c>
      <c r="I45" s="322">
        <v>282</v>
      </c>
      <c r="J45" s="494">
        <f t="shared" si="3"/>
        <v>0.461139896373057</v>
      </c>
      <c r="K45" s="326" t="s">
        <v>82</v>
      </c>
      <c r="L45" s="316">
        <f t="shared" si="2"/>
        <v>7</v>
      </c>
      <c r="M45" s="478"/>
    </row>
    <row r="46" s="291" customFormat="1" ht="24.95" customHeight="1" spans="1:13">
      <c r="A46" s="310">
        <v>2010604</v>
      </c>
      <c r="B46" s="321" t="s">
        <v>83</v>
      </c>
      <c r="C46" s="492">
        <v>93</v>
      </c>
      <c r="D46" s="322"/>
      <c r="E46" s="322">
        <f t="shared" si="5"/>
        <v>93</v>
      </c>
      <c r="F46" s="322"/>
      <c r="G46" s="493"/>
      <c r="H46" s="322">
        <f t="shared" si="1"/>
        <v>93</v>
      </c>
      <c r="I46" s="322">
        <v>97</v>
      </c>
      <c r="J46" s="494">
        <f t="shared" si="3"/>
        <v>0.043010752688172</v>
      </c>
      <c r="K46" s="326"/>
      <c r="L46" s="316">
        <f t="shared" si="2"/>
        <v>7</v>
      </c>
      <c r="M46" s="478"/>
    </row>
    <row r="47" s="291" customFormat="1" ht="24.95" customHeight="1" spans="1:13">
      <c r="A47" s="310">
        <v>2010605</v>
      </c>
      <c r="B47" s="321" t="s">
        <v>84</v>
      </c>
      <c r="C47" s="492">
        <v>730</v>
      </c>
      <c r="D47" s="322"/>
      <c r="E47" s="322">
        <f t="shared" si="5"/>
        <v>730</v>
      </c>
      <c r="F47" s="322"/>
      <c r="G47" s="493"/>
      <c r="H47" s="322">
        <f t="shared" si="1"/>
        <v>730</v>
      </c>
      <c r="I47" s="322">
        <v>746</v>
      </c>
      <c r="J47" s="494">
        <f t="shared" si="3"/>
        <v>0.021917808219178</v>
      </c>
      <c r="K47" s="326"/>
      <c r="L47" s="316">
        <f t="shared" si="2"/>
        <v>7</v>
      </c>
      <c r="M47" s="478"/>
    </row>
    <row r="48" s="291" customFormat="1" ht="24.95" customHeight="1" spans="1:13">
      <c r="A48" s="310">
        <v>2010607</v>
      </c>
      <c r="B48" s="321" t="s">
        <v>85</v>
      </c>
      <c r="C48" s="492">
        <v>93</v>
      </c>
      <c r="D48" s="322"/>
      <c r="E48" s="322">
        <f t="shared" si="5"/>
        <v>93</v>
      </c>
      <c r="F48" s="322"/>
      <c r="G48" s="493"/>
      <c r="H48" s="322">
        <f t="shared" si="1"/>
        <v>93</v>
      </c>
      <c r="I48" s="322">
        <v>70</v>
      </c>
      <c r="J48" s="494">
        <f t="shared" si="3"/>
        <v>-0.247311827956989</v>
      </c>
      <c r="K48" s="326"/>
      <c r="L48" s="316">
        <f t="shared" si="2"/>
        <v>7</v>
      </c>
      <c r="M48" s="478"/>
    </row>
    <row r="49" s="291" customFormat="1" ht="24.95" customHeight="1" spans="1:13">
      <c r="A49" s="310">
        <v>2010650</v>
      </c>
      <c r="B49" s="321" t="s">
        <v>65</v>
      </c>
      <c r="C49" s="492">
        <v>2329</v>
      </c>
      <c r="D49" s="322"/>
      <c r="E49" s="322">
        <f t="shared" si="5"/>
        <v>2329</v>
      </c>
      <c r="F49" s="322"/>
      <c r="G49" s="493"/>
      <c r="H49" s="322">
        <f t="shared" si="1"/>
        <v>2329</v>
      </c>
      <c r="I49" s="322">
        <v>2472</v>
      </c>
      <c r="J49" s="494">
        <f t="shared" si="3"/>
        <v>0.0613997423787034</v>
      </c>
      <c r="K49" s="326"/>
      <c r="L49" s="316">
        <f t="shared" si="2"/>
        <v>7</v>
      </c>
      <c r="M49" s="478"/>
    </row>
    <row r="50" s="291" customFormat="1" ht="60" customHeight="1" spans="1:13">
      <c r="A50" s="310">
        <v>2010699</v>
      </c>
      <c r="B50" s="321" t="s">
        <v>86</v>
      </c>
      <c r="C50" s="492">
        <v>2050</v>
      </c>
      <c r="D50" s="322"/>
      <c r="E50" s="322">
        <f t="shared" si="5"/>
        <v>2050</v>
      </c>
      <c r="F50" s="322"/>
      <c r="G50" s="322"/>
      <c r="H50" s="322">
        <f t="shared" si="1"/>
        <v>2050</v>
      </c>
      <c r="I50" s="322">
        <v>6362</v>
      </c>
      <c r="J50" s="494">
        <f t="shared" si="3"/>
        <v>2.10341463414634</v>
      </c>
      <c r="K50" s="326" t="s">
        <v>87</v>
      </c>
      <c r="L50" s="316">
        <f t="shared" si="2"/>
        <v>7</v>
      </c>
      <c r="M50" s="478"/>
    </row>
    <row r="51" s="291" customFormat="1" ht="24.95" customHeight="1" spans="1:13">
      <c r="A51" s="310">
        <v>20107</v>
      </c>
      <c r="B51" s="317" t="s">
        <v>88</v>
      </c>
      <c r="C51" s="489">
        <v>14137</v>
      </c>
      <c r="D51" s="490"/>
      <c r="E51" s="318">
        <f t="shared" si="5"/>
        <v>14137</v>
      </c>
      <c r="F51" s="490">
        <v>6918.159</v>
      </c>
      <c r="G51" s="490"/>
      <c r="H51" s="318">
        <f t="shared" si="1"/>
        <v>7218.841</v>
      </c>
      <c r="I51" s="318">
        <f>SUM(I52:I54)</f>
        <v>1162</v>
      </c>
      <c r="J51" s="491">
        <f t="shared" si="3"/>
        <v>-0.839032332198479</v>
      </c>
      <c r="K51" s="318"/>
      <c r="L51" s="316">
        <f t="shared" si="2"/>
        <v>5</v>
      </c>
      <c r="M51" s="478"/>
    </row>
    <row r="52" s="291" customFormat="1" ht="24.95" customHeight="1" spans="1:13">
      <c r="A52" s="310">
        <v>2010702</v>
      </c>
      <c r="B52" s="327" t="s">
        <v>50</v>
      </c>
      <c r="C52" s="492"/>
      <c r="D52" s="322"/>
      <c r="E52" s="322"/>
      <c r="F52" s="322"/>
      <c r="G52" s="322"/>
      <c r="H52" s="322"/>
      <c r="I52" s="322"/>
      <c r="J52" s="495">
        <v>0</v>
      </c>
      <c r="K52" s="326"/>
      <c r="L52" s="316">
        <f t="shared" si="2"/>
        <v>7</v>
      </c>
      <c r="M52" s="478"/>
    </row>
    <row r="53" s="291" customFormat="1" ht="81" customHeight="1" spans="1:13">
      <c r="A53" s="310">
        <v>2010708</v>
      </c>
      <c r="B53" s="321" t="s">
        <v>89</v>
      </c>
      <c r="C53" s="492">
        <v>14137</v>
      </c>
      <c r="D53" s="322"/>
      <c r="E53" s="322">
        <f t="shared" ref="E53:E59" si="6">C53+D53</f>
        <v>14137</v>
      </c>
      <c r="F53" s="322">
        <v>6918.159</v>
      </c>
      <c r="G53" s="493"/>
      <c r="H53" s="322">
        <f t="shared" si="1"/>
        <v>7218.841</v>
      </c>
      <c r="I53" s="322">
        <v>1162</v>
      </c>
      <c r="J53" s="494">
        <f t="shared" si="3"/>
        <v>-0.839032332198479</v>
      </c>
      <c r="K53" s="326" t="s">
        <v>90</v>
      </c>
      <c r="L53" s="316">
        <f t="shared" si="2"/>
        <v>7</v>
      </c>
      <c r="M53" s="478"/>
    </row>
    <row r="54" s="291" customFormat="1" ht="24.95" customHeight="1" spans="1:13">
      <c r="A54" s="310">
        <v>2010799</v>
      </c>
      <c r="B54" s="327" t="s">
        <v>91</v>
      </c>
      <c r="C54" s="492"/>
      <c r="D54" s="322"/>
      <c r="E54" s="322"/>
      <c r="F54" s="322"/>
      <c r="G54" s="322"/>
      <c r="H54" s="322"/>
      <c r="I54" s="322"/>
      <c r="J54" s="495">
        <v>0</v>
      </c>
      <c r="K54" s="326"/>
      <c r="L54" s="316">
        <f t="shared" si="2"/>
        <v>7</v>
      </c>
      <c r="M54" s="478"/>
    </row>
    <row r="55" s="291" customFormat="1" ht="24.95" customHeight="1" spans="1:13">
      <c r="A55" s="310">
        <v>20108</v>
      </c>
      <c r="B55" s="317" t="s">
        <v>92</v>
      </c>
      <c r="C55" s="489">
        <v>2527</v>
      </c>
      <c r="D55" s="490"/>
      <c r="E55" s="318">
        <f t="shared" si="6"/>
        <v>2527</v>
      </c>
      <c r="F55" s="490"/>
      <c r="G55" s="490"/>
      <c r="H55" s="318">
        <f t="shared" si="1"/>
        <v>2527</v>
      </c>
      <c r="I55" s="318">
        <f>SUM(I56:I60)</f>
        <v>3497</v>
      </c>
      <c r="J55" s="491">
        <f t="shared" si="3"/>
        <v>0.38385437277404</v>
      </c>
      <c r="K55" s="318"/>
      <c r="L55" s="316">
        <f t="shared" si="2"/>
        <v>5</v>
      </c>
      <c r="M55" s="478"/>
    </row>
    <row r="56" s="291" customFormat="1" ht="24.95" customHeight="1" spans="1:13">
      <c r="A56" s="310">
        <v>2010801</v>
      </c>
      <c r="B56" s="321" t="s">
        <v>49</v>
      </c>
      <c r="C56" s="492">
        <v>1788</v>
      </c>
      <c r="D56" s="322"/>
      <c r="E56" s="322">
        <f t="shared" si="6"/>
        <v>1788</v>
      </c>
      <c r="F56" s="322"/>
      <c r="G56" s="322"/>
      <c r="H56" s="322">
        <f t="shared" si="1"/>
        <v>1788</v>
      </c>
      <c r="I56" s="322">
        <v>2195</v>
      </c>
      <c r="J56" s="494">
        <f t="shared" si="3"/>
        <v>0.227628635346756</v>
      </c>
      <c r="K56" s="326"/>
      <c r="L56" s="316">
        <f t="shared" si="2"/>
        <v>7</v>
      </c>
      <c r="M56" s="478"/>
    </row>
    <row r="57" s="291" customFormat="1" ht="24.95" customHeight="1" spans="1:13">
      <c r="A57" s="310">
        <v>2010802</v>
      </c>
      <c r="B57" s="321" t="s">
        <v>50</v>
      </c>
      <c r="C57" s="492">
        <v>62</v>
      </c>
      <c r="D57" s="322"/>
      <c r="E57" s="322">
        <f t="shared" si="6"/>
        <v>62</v>
      </c>
      <c r="F57" s="322"/>
      <c r="G57" s="322"/>
      <c r="H57" s="322">
        <f t="shared" si="1"/>
        <v>62</v>
      </c>
      <c r="I57" s="322">
        <v>60</v>
      </c>
      <c r="J57" s="494">
        <f t="shared" si="3"/>
        <v>-0.032258064516129</v>
      </c>
      <c r="K57" s="326"/>
      <c r="L57" s="316">
        <f t="shared" si="2"/>
        <v>7</v>
      </c>
      <c r="M57" s="478"/>
    </row>
    <row r="58" s="291" customFormat="1" ht="54.95" customHeight="1" spans="1:13">
      <c r="A58" s="310">
        <v>2010804</v>
      </c>
      <c r="B58" s="321" t="s">
        <v>93</v>
      </c>
      <c r="C58" s="492">
        <v>132</v>
      </c>
      <c r="D58" s="322"/>
      <c r="E58" s="322">
        <f t="shared" si="6"/>
        <v>132</v>
      </c>
      <c r="F58" s="322"/>
      <c r="G58" s="493"/>
      <c r="H58" s="322">
        <f t="shared" si="1"/>
        <v>132</v>
      </c>
      <c r="I58" s="322">
        <v>65</v>
      </c>
      <c r="J58" s="494">
        <f t="shared" si="3"/>
        <v>-0.507575757575758</v>
      </c>
      <c r="K58" s="326" t="s">
        <v>94</v>
      </c>
      <c r="L58" s="316">
        <f t="shared" si="2"/>
        <v>7</v>
      </c>
      <c r="M58" s="478"/>
    </row>
    <row r="59" s="291" customFormat="1" ht="24.95" customHeight="1" spans="1:13">
      <c r="A59" s="310">
        <v>2010850</v>
      </c>
      <c r="B59" s="321" t="s">
        <v>65</v>
      </c>
      <c r="C59" s="492">
        <v>545</v>
      </c>
      <c r="D59" s="322"/>
      <c r="E59" s="322">
        <f t="shared" si="6"/>
        <v>545</v>
      </c>
      <c r="F59" s="322"/>
      <c r="G59" s="322"/>
      <c r="H59" s="322">
        <f t="shared" si="1"/>
        <v>545</v>
      </c>
      <c r="I59" s="322">
        <v>677</v>
      </c>
      <c r="J59" s="494">
        <f t="shared" si="3"/>
        <v>0.242201834862385</v>
      </c>
      <c r="K59" s="326"/>
      <c r="L59" s="316">
        <f t="shared" si="2"/>
        <v>7</v>
      </c>
      <c r="M59" s="478"/>
    </row>
    <row r="60" s="291" customFormat="1" ht="45" customHeight="1" spans="1:13">
      <c r="A60" s="310">
        <v>2010899</v>
      </c>
      <c r="B60" s="321" t="s">
        <v>95</v>
      </c>
      <c r="C60" s="492"/>
      <c r="D60" s="322"/>
      <c r="E60" s="322"/>
      <c r="F60" s="322"/>
      <c r="G60" s="322"/>
      <c r="H60" s="322"/>
      <c r="I60" s="322">
        <v>500</v>
      </c>
      <c r="J60" s="495">
        <v>0</v>
      </c>
      <c r="K60" s="326" t="s">
        <v>96</v>
      </c>
      <c r="L60" s="316"/>
      <c r="M60" s="478"/>
    </row>
    <row r="61" s="291" customFormat="1" ht="24.95" customHeight="1" spans="1:13">
      <c r="A61" s="310">
        <v>20110</v>
      </c>
      <c r="B61" s="317" t="s">
        <v>97</v>
      </c>
      <c r="C61" s="489">
        <v>10927</v>
      </c>
      <c r="D61" s="490"/>
      <c r="E61" s="318">
        <f>C61+D61</f>
        <v>10927</v>
      </c>
      <c r="F61" s="490"/>
      <c r="G61" s="490"/>
      <c r="H61" s="318">
        <f t="shared" ref="H61:H69" si="7">E61-F61-G61</f>
        <v>10927</v>
      </c>
      <c r="I61" s="318">
        <f>SUM(I62:I66)</f>
        <v>3886</v>
      </c>
      <c r="J61" s="491">
        <f t="shared" si="3"/>
        <v>-0.644367163905921</v>
      </c>
      <c r="K61" s="330"/>
      <c r="L61" s="316">
        <f t="shared" ref="L61:L69" si="8">LEN(A61)</f>
        <v>5</v>
      </c>
      <c r="M61" s="478"/>
    </row>
    <row r="62" s="291" customFormat="1" ht="24.95" customHeight="1" spans="1:13">
      <c r="A62" s="310">
        <v>2011001</v>
      </c>
      <c r="B62" s="327" t="s">
        <v>49</v>
      </c>
      <c r="C62" s="492"/>
      <c r="D62" s="322"/>
      <c r="E62" s="322">
        <v>0</v>
      </c>
      <c r="F62" s="322"/>
      <c r="G62" s="322"/>
      <c r="H62" s="322"/>
      <c r="I62" s="322"/>
      <c r="J62" s="495">
        <v>0</v>
      </c>
      <c r="K62" s="326"/>
      <c r="L62" s="316">
        <f t="shared" si="8"/>
        <v>7</v>
      </c>
      <c r="M62" s="478"/>
    </row>
    <row r="63" s="291" customFormat="1" ht="24.95" customHeight="1" spans="1:13">
      <c r="A63" s="310">
        <v>2011006</v>
      </c>
      <c r="B63" s="327" t="s">
        <v>98</v>
      </c>
      <c r="C63" s="492"/>
      <c r="D63" s="322"/>
      <c r="E63" s="322">
        <v>0</v>
      </c>
      <c r="F63" s="322"/>
      <c r="G63" s="322"/>
      <c r="H63" s="322"/>
      <c r="I63" s="322"/>
      <c r="J63" s="495">
        <v>0</v>
      </c>
      <c r="K63" s="326"/>
      <c r="L63" s="316">
        <f t="shared" si="8"/>
        <v>7</v>
      </c>
      <c r="M63" s="478"/>
    </row>
    <row r="64" s="291" customFormat="1" ht="59.1" customHeight="1" spans="1:13">
      <c r="A64" s="310">
        <v>2011008</v>
      </c>
      <c r="B64" s="321" t="s">
        <v>99</v>
      </c>
      <c r="C64" s="492">
        <v>7211</v>
      </c>
      <c r="D64" s="322"/>
      <c r="E64" s="322">
        <f t="shared" ref="E64:E77" si="9">C64+D64</f>
        <v>7211</v>
      </c>
      <c r="F64" s="322"/>
      <c r="G64" s="322"/>
      <c r="H64" s="322">
        <f t="shared" si="7"/>
        <v>7211</v>
      </c>
      <c r="I64" s="322"/>
      <c r="J64" s="494">
        <f t="shared" si="3"/>
        <v>-1</v>
      </c>
      <c r="K64" s="326" t="s">
        <v>100</v>
      </c>
      <c r="L64" s="316">
        <f t="shared" si="8"/>
        <v>7</v>
      </c>
      <c r="M64" s="478"/>
    </row>
    <row r="65" s="291" customFormat="1" ht="24.95" customHeight="1" spans="1:13">
      <c r="A65" s="310">
        <v>2011050</v>
      </c>
      <c r="B65" s="321" t="s">
        <v>65</v>
      </c>
      <c r="C65" s="492">
        <v>1921</v>
      </c>
      <c r="D65" s="322"/>
      <c r="E65" s="322">
        <f t="shared" si="9"/>
        <v>1921</v>
      </c>
      <c r="F65" s="322"/>
      <c r="G65" s="493"/>
      <c r="H65" s="322">
        <f t="shared" si="7"/>
        <v>1921</v>
      </c>
      <c r="I65" s="322">
        <v>2241</v>
      </c>
      <c r="J65" s="494">
        <f t="shared" si="3"/>
        <v>0.166579906298803</v>
      </c>
      <c r="K65" s="326"/>
      <c r="L65" s="316">
        <f t="shared" si="8"/>
        <v>7</v>
      </c>
      <c r="M65" s="478"/>
    </row>
    <row r="66" s="291" customFormat="1" ht="24.95" customHeight="1" spans="1:13">
      <c r="A66" s="310">
        <v>2011099</v>
      </c>
      <c r="B66" s="321" t="s">
        <v>101</v>
      </c>
      <c r="C66" s="492">
        <v>1795</v>
      </c>
      <c r="D66" s="322"/>
      <c r="E66" s="322">
        <f t="shared" si="9"/>
        <v>1795</v>
      </c>
      <c r="F66" s="322"/>
      <c r="G66" s="493"/>
      <c r="H66" s="322">
        <f t="shared" si="7"/>
        <v>1795</v>
      </c>
      <c r="I66" s="322">
        <v>1645</v>
      </c>
      <c r="J66" s="494">
        <f t="shared" si="3"/>
        <v>-0.0835654596100278</v>
      </c>
      <c r="K66" s="326"/>
      <c r="L66" s="316">
        <f t="shared" si="8"/>
        <v>7</v>
      </c>
      <c r="M66" s="478"/>
    </row>
    <row r="67" s="291" customFormat="1" ht="24.95" customHeight="1" spans="1:13">
      <c r="A67" s="310">
        <v>20111</v>
      </c>
      <c r="B67" s="317" t="s">
        <v>102</v>
      </c>
      <c r="C67" s="489">
        <v>4482</v>
      </c>
      <c r="D67" s="490"/>
      <c r="E67" s="318">
        <f t="shared" si="9"/>
        <v>4482</v>
      </c>
      <c r="F67" s="490"/>
      <c r="G67" s="490"/>
      <c r="H67" s="318">
        <f t="shared" si="7"/>
        <v>4482</v>
      </c>
      <c r="I67" s="318">
        <f>SUM(I68:I70)</f>
        <v>6108</v>
      </c>
      <c r="J67" s="491">
        <f t="shared" si="3"/>
        <v>0.362784471218206</v>
      </c>
      <c r="K67" s="330"/>
      <c r="L67" s="316">
        <f t="shared" si="8"/>
        <v>5</v>
      </c>
      <c r="M67" s="478"/>
    </row>
    <row r="68" s="291" customFormat="1" ht="39.95" customHeight="1" spans="1:13">
      <c r="A68" s="310">
        <v>2011101</v>
      </c>
      <c r="B68" s="321" t="s">
        <v>49</v>
      </c>
      <c r="C68" s="492">
        <v>3013</v>
      </c>
      <c r="D68" s="322"/>
      <c r="E68" s="322">
        <f t="shared" si="9"/>
        <v>3013</v>
      </c>
      <c r="F68" s="322"/>
      <c r="G68" s="493"/>
      <c r="H68" s="322">
        <f t="shared" si="7"/>
        <v>3013</v>
      </c>
      <c r="I68" s="322">
        <v>3833</v>
      </c>
      <c r="J68" s="494">
        <f t="shared" si="3"/>
        <v>0.27215399933621</v>
      </c>
      <c r="K68" s="326" t="s">
        <v>103</v>
      </c>
      <c r="L68" s="316">
        <f t="shared" si="8"/>
        <v>7</v>
      </c>
      <c r="M68" s="478"/>
    </row>
    <row r="69" s="291" customFormat="1" ht="24.95" customHeight="1" spans="1:13">
      <c r="A69" s="310">
        <v>2011102</v>
      </c>
      <c r="B69" s="321" t="s">
        <v>50</v>
      </c>
      <c r="C69" s="492">
        <v>220</v>
      </c>
      <c r="D69" s="322"/>
      <c r="E69" s="322">
        <f t="shared" si="9"/>
        <v>220</v>
      </c>
      <c r="F69" s="322"/>
      <c r="G69" s="493"/>
      <c r="H69" s="322">
        <f t="shared" si="7"/>
        <v>220</v>
      </c>
      <c r="I69" s="322">
        <v>219</v>
      </c>
      <c r="J69" s="494">
        <f t="shared" si="3"/>
        <v>-0.00454545454545452</v>
      </c>
      <c r="K69" s="326"/>
      <c r="L69" s="316">
        <f t="shared" si="8"/>
        <v>7</v>
      </c>
      <c r="M69" s="478"/>
    </row>
    <row r="70" s="291" customFormat="1" ht="44.1" customHeight="1" spans="1:13">
      <c r="A70" s="310">
        <v>2011199</v>
      </c>
      <c r="B70" s="321" t="s">
        <v>104</v>
      </c>
      <c r="C70" s="492">
        <v>1249</v>
      </c>
      <c r="D70" s="322"/>
      <c r="E70" s="322">
        <f t="shared" si="9"/>
        <v>1249</v>
      </c>
      <c r="F70" s="322"/>
      <c r="G70" s="493"/>
      <c r="H70" s="322">
        <f t="shared" ref="H70:H122" si="10">E70-F70-G70</f>
        <v>1249</v>
      </c>
      <c r="I70" s="322">
        <v>2056</v>
      </c>
      <c r="J70" s="494">
        <f t="shared" ref="J70:J133" si="11">I70/H70-1</f>
        <v>0.646116893514812</v>
      </c>
      <c r="K70" s="326" t="s">
        <v>105</v>
      </c>
      <c r="L70" s="316">
        <f t="shared" ref="L70:L122" si="12">LEN(A70)</f>
        <v>7</v>
      </c>
      <c r="M70" s="478"/>
    </row>
    <row r="71" s="291" customFormat="1" ht="24.95" customHeight="1" spans="1:13">
      <c r="A71" s="310">
        <v>20113</v>
      </c>
      <c r="B71" s="317" t="s">
        <v>106</v>
      </c>
      <c r="C71" s="489">
        <v>14413</v>
      </c>
      <c r="D71" s="490"/>
      <c r="E71" s="318">
        <f t="shared" si="9"/>
        <v>14413</v>
      </c>
      <c r="F71" s="490"/>
      <c r="G71" s="490"/>
      <c r="H71" s="318">
        <f t="shared" si="10"/>
        <v>14413</v>
      </c>
      <c r="I71" s="318">
        <f>SUM(I72:I77)</f>
        <v>14124</v>
      </c>
      <c r="J71" s="491">
        <f t="shared" si="11"/>
        <v>-0.0200513425379866</v>
      </c>
      <c r="K71" s="330"/>
      <c r="L71" s="316">
        <f t="shared" si="12"/>
        <v>5</v>
      </c>
      <c r="M71" s="478"/>
    </row>
    <row r="72" s="291" customFormat="1" ht="24.95" customHeight="1" spans="1:13">
      <c r="A72" s="310">
        <v>2011301</v>
      </c>
      <c r="B72" s="321" t="s">
        <v>49</v>
      </c>
      <c r="C72" s="492">
        <v>3776</v>
      </c>
      <c r="D72" s="322"/>
      <c r="E72" s="322">
        <f t="shared" si="9"/>
        <v>3776</v>
      </c>
      <c r="F72" s="322"/>
      <c r="G72" s="493"/>
      <c r="H72" s="322">
        <f t="shared" si="10"/>
        <v>3776</v>
      </c>
      <c r="I72" s="322">
        <v>4509</v>
      </c>
      <c r="J72" s="494">
        <f t="shared" si="11"/>
        <v>0.194120762711864</v>
      </c>
      <c r="K72" s="326" t="s">
        <v>107</v>
      </c>
      <c r="L72" s="316">
        <f t="shared" si="12"/>
        <v>7</v>
      </c>
      <c r="M72" s="478"/>
    </row>
    <row r="73" s="291" customFormat="1" ht="24.95" customHeight="1" spans="1:13">
      <c r="A73" s="310">
        <v>2011302</v>
      </c>
      <c r="B73" s="321" t="s">
        <v>50</v>
      </c>
      <c r="C73" s="492">
        <v>560</v>
      </c>
      <c r="D73" s="322"/>
      <c r="E73" s="322">
        <f t="shared" si="9"/>
        <v>560</v>
      </c>
      <c r="F73" s="322"/>
      <c r="G73" s="493"/>
      <c r="H73" s="322">
        <f t="shared" si="10"/>
        <v>560</v>
      </c>
      <c r="I73" s="322">
        <v>633</v>
      </c>
      <c r="J73" s="494">
        <f t="shared" si="11"/>
        <v>0.130357142857143</v>
      </c>
      <c r="K73" s="326"/>
      <c r="L73" s="316">
        <f t="shared" si="12"/>
        <v>7</v>
      </c>
      <c r="M73" s="478"/>
    </row>
    <row r="74" s="291" customFormat="1" ht="24.95" customHeight="1" spans="1:13">
      <c r="A74" s="310">
        <v>2011307</v>
      </c>
      <c r="B74" s="321" t="s">
        <v>108</v>
      </c>
      <c r="C74" s="492">
        <v>713</v>
      </c>
      <c r="D74" s="322"/>
      <c r="E74" s="322">
        <f t="shared" si="9"/>
        <v>713</v>
      </c>
      <c r="F74" s="322"/>
      <c r="G74" s="493"/>
      <c r="H74" s="322">
        <f t="shared" si="10"/>
        <v>713</v>
      </c>
      <c r="I74" s="322">
        <v>677</v>
      </c>
      <c r="J74" s="494">
        <f t="shared" si="11"/>
        <v>-0.0504908835904628</v>
      </c>
      <c r="K74" s="326"/>
      <c r="L74" s="316">
        <f t="shared" si="12"/>
        <v>7</v>
      </c>
      <c r="M74" s="478"/>
    </row>
    <row r="75" s="291" customFormat="1" ht="126.95" customHeight="1" spans="1:13">
      <c r="A75" s="310">
        <v>2011308</v>
      </c>
      <c r="B75" s="321" t="s">
        <v>109</v>
      </c>
      <c r="C75" s="492">
        <v>72</v>
      </c>
      <c r="D75" s="322"/>
      <c r="E75" s="322">
        <f t="shared" si="9"/>
        <v>72</v>
      </c>
      <c r="F75" s="322"/>
      <c r="G75" s="493"/>
      <c r="H75" s="322">
        <f t="shared" si="10"/>
        <v>72</v>
      </c>
      <c r="I75" s="322">
        <v>50</v>
      </c>
      <c r="J75" s="494">
        <f t="shared" si="11"/>
        <v>-0.305555555555556</v>
      </c>
      <c r="K75" s="326" t="s">
        <v>110</v>
      </c>
      <c r="L75" s="316">
        <f t="shared" si="12"/>
        <v>7</v>
      </c>
      <c r="M75" s="478"/>
    </row>
    <row r="76" s="291" customFormat="1" ht="24.95" customHeight="1" spans="1:13">
      <c r="A76" s="310">
        <v>2011350</v>
      </c>
      <c r="B76" s="321" t="s">
        <v>65</v>
      </c>
      <c r="C76" s="492">
        <v>1072</v>
      </c>
      <c r="D76" s="322"/>
      <c r="E76" s="322">
        <f t="shared" si="9"/>
        <v>1072</v>
      </c>
      <c r="F76" s="322"/>
      <c r="G76" s="493"/>
      <c r="H76" s="322">
        <f t="shared" si="10"/>
        <v>1072</v>
      </c>
      <c r="I76" s="322">
        <v>1269</v>
      </c>
      <c r="J76" s="494">
        <f t="shared" si="11"/>
        <v>0.183768656716418</v>
      </c>
      <c r="K76" s="326"/>
      <c r="L76" s="316">
        <f t="shared" si="12"/>
        <v>7</v>
      </c>
      <c r="M76" s="478"/>
    </row>
    <row r="77" s="291" customFormat="1" ht="24.95" customHeight="1" spans="1:13">
      <c r="A77" s="310">
        <v>2011399</v>
      </c>
      <c r="B77" s="321" t="s">
        <v>111</v>
      </c>
      <c r="C77" s="492">
        <v>8220</v>
      </c>
      <c r="D77" s="322"/>
      <c r="E77" s="322">
        <f t="shared" si="9"/>
        <v>8220</v>
      </c>
      <c r="F77" s="322"/>
      <c r="G77" s="493"/>
      <c r="H77" s="322">
        <f t="shared" si="10"/>
        <v>8220</v>
      </c>
      <c r="I77" s="322">
        <v>6986</v>
      </c>
      <c r="J77" s="494">
        <f t="shared" si="11"/>
        <v>-0.150121654501217</v>
      </c>
      <c r="K77" s="326"/>
      <c r="L77" s="316">
        <f t="shared" si="12"/>
        <v>7</v>
      </c>
      <c r="M77" s="478"/>
    </row>
    <row r="78" s="291" customFormat="1" ht="39.95" customHeight="1" spans="1:13">
      <c r="A78" s="331">
        <v>20115</v>
      </c>
      <c r="B78" s="332" t="s">
        <v>112</v>
      </c>
      <c r="C78" s="489"/>
      <c r="D78" s="490"/>
      <c r="E78" s="318">
        <v>0</v>
      </c>
      <c r="F78" s="490"/>
      <c r="G78" s="490"/>
      <c r="H78" s="318"/>
      <c r="I78" s="318"/>
      <c r="J78" s="496">
        <v>0</v>
      </c>
      <c r="K78" s="330"/>
      <c r="L78" s="316">
        <f t="shared" si="12"/>
        <v>5</v>
      </c>
      <c r="M78" s="478"/>
    </row>
    <row r="79" s="291" customFormat="1" ht="24.95" customHeight="1" spans="1:13">
      <c r="A79" s="331">
        <v>2011501</v>
      </c>
      <c r="B79" s="327" t="s">
        <v>49</v>
      </c>
      <c r="C79" s="492"/>
      <c r="D79" s="322"/>
      <c r="E79" s="322">
        <v>0</v>
      </c>
      <c r="F79" s="322"/>
      <c r="G79" s="322"/>
      <c r="H79" s="322"/>
      <c r="I79" s="322"/>
      <c r="J79" s="495">
        <v>0</v>
      </c>
      <c r="K79" s="326"/>
      <c r="L79" s="316">
        <f t="shared" si="12"/>
        <v>7</v>
      </c>
      <c r="M79" s="478"/>
    </row>
    <row r="80" s="291" customFormat="1" ht="24.95" customHeight="1" spans="1:13">
      <c r="A80" s="331">
        <v>2011506</v>
      </c>
      <c r="B80" s="327" t="s">
        <v>113</v>
      </c>
      <c r="C80" s="492"/>
      <c r="D80" s="322"/>
      <c r="E80" s="322">
        <v>0</v>
      </c>
      <c r="F80" s="322"/>
      <c r="G80" s="322"/>
      <c r="H80" s="322"/>
      <c r="I80" s="322"/>
      <c r="J80" s="495">
        <v>0</v>
      </c>
      <c r="K80" s="326"/>
      <c r="L80" s="316">
        <f t="shared" si="12"/>
        <v>7</v>
      </c>
      <c r="M80" s="478"/>
    </row>
    <row r="81" s="291" customFormat="1" ht="24.95" customHeight="1" spans="1:13">
      <c r="A81" s="331">
        <v>2011550</v>
      </c>
      <c r="B81" s="327" t="s">
        <v>65</v>
      </c>
      <c r="C81" s="492"/>
      <c r="D81" s="322"/>
      <c r="E81" s="322">
        <v>0</v>
      </c>
      <c r="F81" s="322"/>
      <c r="G81" s="322"/>
      <c r="H81" s="322"/>
      <c r="I81" s="322"/>
      <c r="J81" s="495">
        <v>0</v>
      </c>
      <c r="K81" s="326"/>
      <c r="L81" s="316">
        <f t="shared" si="12"/>
        <v>7</v>
      </c>
      <c r="M81" s="478"/>
    </row>
    <row r="82" s="291" customFormat="1" ht="50.1" customHeight="1" spans="1:13">
      <c r="A82" s="331">
        <v>20117</v>
      </c>
      <c r="B82" s="332" t="s">
        <v>114</v>
      </c>
      <c r="C82" s="489"/>
      <c r="D82" s="490"/>
      <c r="E82" s="318">
        <v>0</v>
      </c>
      <c r="F82" s="490"/>
      <c r="G82" s="490"/>
      <c r="H82" s="318"/>
      <c r="I82" s="318"/>
      <c r="J82" s="496">
        <v>0</v>
      </c>
      <c r="K82" s="330"/>
      <c r="L82" s="316">
        <f t="shared" si="12"/>
        <v>5</v>
      </c>
      <c r="M82" s="478"/>
    </row>
    <row r="83" s="291" customFormat="1" ht="24.95" customHeight="1" spans="1:13">
      <c r="A83" s="331">
        <v>2011701</v>
      </c>
      <c r="B83" s="327" t="s">
        <v>49</v>
      </c>
      <c r="C83" s="492"/>
      <c r="D83" s="322"/>
      <c r="E83" s="322">
        <v>0</v>
      </c>
      <c r="F83" s="322"/>
      <c r="G83" s="322"/>
      <c r="H83" s="322"/>
      <c r="I83" s="322"/>
      <c r="J83" s="495">
        <v>0</v>
      </c>
      <c r="K83" s="326"/>
      <c r="L83" s="316">
        <f t="shared" si="12"/>
        <v>7</v>
      </c>
      <c r="M83" s="478"/>
    </row>
    <row r="84" s="291" customFormat="1" ht="57" customHeight="1" spans="1:13">
      <c r="A84" s="331">
        <v>2011706</v>
      </c>
      <c r="B84" s="327" t="s">
        <v>115</v>
      </c>
      <c r="C84" s="492"/>
      <c r="D84" s="322"/>
      <c r="E84" s="322">
        <v>0</v>
      </c>
      <c r="F84" s="322"/>
      <c r="G84" s="322"/>
      <c r="H84" s="322"/>
      <c r="I84" s="322"/>
      <c r="J84" s="495">
        <v>0</v>
      </c>
      <c r="K84" s="326"/>
      <c r="L84" s="316">
        <f t="shared" si="12"/>
        <v>7</v>
      </c>
      <c r="M84" s="478"/>
    </row>
    <row r="85" s="291" customFormat="1" ht="50.1" customHeight="1" spans="1:13">
      <c r="A85" s="331">
        <v>2011799</v>
      </c>
      <c r="B85" s="327" t="s">
        <v>116</v>
      </c>
      <c r="C85" s="492"/>
      <c r="D85" s="322"/>
      <c r="E85" s="322">
        <v>0</v>
      </c>
      <c r="F85" s="322"/>
      <c r="G85" s="322"/>
      <c r="H85" s="322"/>
      <c r="I85" s="322"/>
      <c r="J85" s="495">
        <v>0</v>
      </c>
      <c r="K85" s="326"/>
      <c r="L85" s="316">
        <f t="shared" si="12"/>
        <v>7</v>
      </c>
      <c r="M85" s="478"/>
    </row>
    <row r="86" s="291" customFormat="1" ht="24.95" customHeight="1" spans="1:13">
      <c r="A86" s="310">
        <v>20123</v>
      </c>
      <c r="B86" s="317" t="s">
        <v>117</v>
      </c>
      <c r="C86" s="489">
        <v>8</v>
      </c>
      <c r="D86" s="490"/>
      <c r="E86" s="318">
        <f t="shared" ref="E86:E122" si="13">C86+D86</f>
        <v>8</v>
      </c>
      <c r="F86" s="490"/>
      <c r="G86" s="490"/>
      <c r="H86" s="318">
        <f t="shared" si="10"/>
        <v>8</v>
      </c>
      <c r="I86" s="318">
        <f>I87</f>
        <v>8</v>
      </c>
      <c r="J86" s="491">
        <f t="shared" si="11"/>
        <v>0</v>
      </c>
      <c r="K86" s="330"/>
      <c r="L86" s="316">
        <f t="shared" si="12"/>
        <v>5</v>
      </c>
      <c r="M86" s="478"/>
    </row>
    <row r="87" s="291" customFormat="1" ht="24.95" customHeight="1" spans="1:13">
      <c r="A87" s="310">
        <v>2012304</v>
      </c>
      <c r="B87" s="321" t="s">
        <v>118</v>
      </c>
      <c r="C87" s="492">
        <v>8</v>
      </c>
      <c r="D87" s="322"/>
      <c r="E87" s="322">
        <f t="shared" si="13"/>
        <v>8</v>
      </c>
      <c r="F87" s="322"/>
      <c r="G87" s="322"/>
      <c r="H87" s="322">
        <f t="shared" si="10"/>
        <v>8</v>
      </c>
      <c r="I87" s="322">
        <v>8</v>
      </c>
      <c r="J87" s="494">
        <f t="shared" si="11"/>
        <v>0</v>
      </c>
      <c r="K87" s="326"/>
      <c r="L87" s="316">
        <f t="shared" si="12"/>
        <v>7</v>
      </c>
      <c r="M87" s="478"/>
    </row>
    <row r="88" s="291" customFormat="1" ht="24.95" customHeight="1" spans="1:13">
      <c r="A88" s="331">
        <v>20124</v>
      </c>
      <c r="B88" s="332" t="s">
        <v>119</v>
      </c>
      <c r="C88" s="489"/>
      <c r="D88" s="490"/>
      <c r="E88" s="318">
        <v>0</v>
      </c>
      <c r="F88" s="490"/>
      <c r="G88" s="490"/>
      <c r="H88" s="318"/>
      <c r="I88" s="318"/>
      <c r="J88" s="496">
        <v>0</v>
      </c>
      <c r="K88" s="330"/>
      <c r="L88" s="316">
        <f t="shared" si="12"/>
        <v>5</v>
      </c>
      <c r="M88" s="478"/>
    </row>
    <row r="89" s="291" customFormat="1" ht="24.95" customHeight="1" spans="1:13">
      <c r="A89" s="331">
        <v>2012404</v>
      </c>
      <c r="B89" s="327" t="s">
        <v>120</v>
      </c>
      <c r="C89" s="492"/>
      <c r="D89" s="322"/>
      <c r="E89" s="322">
        <v>0</v>
      </c>
      <c r="F89" s="322"/>
      <c r="G89" s="322"/>
      <c r="H89" s="322"/>
      <c r="I89" s="322"/>
      <c r="J89" s="495">
        <v>0</v>
      </c>
      <c r="K89" s="326"/>
      <c r="L89" s="316">
        <f t="shared" si="12"/>
        <v>7</v>
      </c>
      <c r="M89" s="478"/>
    </row>
    <row r="90" s="291" customFormat="1" ht="24.95" customHeight="1" spans="1:13">
      <c r="A90" s="310">
        <v>20125</v>
      </c>
      <c r="B90" s="317" t="s">
        <v>121</v>
      </c>
      <c r="C90" s="489">
        <v>680</v>
      </c>
      <c r="D90" s="490"/>
      <c r="E90" s="318">
        <f t="shared" si="13"/>
        <v>680</v>
      </c>
      <c r="F90" s="490"/>
      <c r="G90" s="490"/>
      <c r="H90" s="318">
        <f t="shared" si="10"/>
        <v>680</v>
      </c>
      <c r="I90" s="318">
        <f>SUM(I91:I92)</f>
        <v>553</v>
      </c>
      <c r="J90" s="491">
        <f t="shared" si="11"/>
        <v>-0.186764705882353</v>
      </c>
      <c r="K90" s="330"/>
      <c r="L90" s="316">
        <f t="shared" si="12"/>
        <v>5</v>
      </c>
      <c r="M90" s="478"/>
    </row>
    <row r="91" s="291" customFormat="1" ht="24.95" customHeight="1" spans="1:13">
      <c r="A91" s="310">
        <v>2012502</v>
      </c>
      <c r="B91" s="321" t="s">
        <v>50</v>
      </c>
      <c r="C91" s="492">
        <v>48</v>
      </c>
      <c r="D91" s="322"/>
      <c r="E91" s="322">
        <f t="shared" si="13"/>
        <v>48</v>
      </c>
      <c r="F91" s="322"/>
      <c r="G91" s="322"/>
      <c r="H91" s="322">
        <f t="shared" si="10"/>
        <v>48</v>
      </c>
      <c r="I91" s="322">
        <v>38</v>
      </c>
      <c r="J91" s="494">
        <f t="shared" si="11"/>
        <v>-0.208333333333333</v>
      </c>
      <c r="K91" s="326"/>
      <c r="L91" s="316">
        <f t="shared" si="12"/>
        <v>7</v>
      </c>
      <c r="M91" s="478"/>
    </row>
    <row r="92" s="291" customFormat="1" ht="24.95" customHeight="1" spans="1:13">
      <c r="A92" s="310">
        <v>2012599</v>
      </c>
      <c r="B92" s="321" t="s">
        <v>122</v>
      </c>
      <c r="C92" s="492">
        <v>632</v>
      </c>
      <c r="D92" s="322"/>
      <c r="E92" s="322">
        <f t="shared" si="13"/>
        <v>632</v>
      </c>
      <c r="F92" s="322"/>
      <c r="G92" s="322"/>
      <c r="H92" s="322">
        <f t="shared" si="10"/>
        <v>632</v>
      </c>
      <c r="I92" s="322">
        <v>515</v>
      </c>
      <c r="J92" s="494">
        <f t="shared" si="11"/>
        <v>-0.185126582278481</v>
      </c>
      <c r="K92" s="326"/>
      <c r="L92" s="316">
        <f t="shared" si="12"/>
        <v>7</v>
      </c>
      <c r="M92" s="478"/>
    </row>
    <row r="93" s="291" customFormat="1" ht="24.95" customHeight="1" spans="1:13">
      <c r="A93" s="310">
        <v>20126</v>
      </c>
      <c r="B93" s="317" t="s">
        <v>123</v>
      </c>
      <c r="C93" s="489">
        <v>111</v>
      </c>
      <c r="D93" s="490"/>
      <c r="E93" s="318">
        <f t="shared" si="13"/>
        <v>111</v>
      </c>
      <c r="F93" s="490"/>
      <c r="G93" s="490"/>
      <c r="H93" s="318">
        <f t="shared" si="10"/>
        <v>111</v>
      </c>
      <c r="I93" s="318">
        <f>I94</f>
        <v>111</v>
      </c>
      <c r="J93" s="491">
        <f t="shared" si="11"/>
        <v>0</v>
      </c>
      <c r="K93" s="330"/>
      <c r="L93" s="316">
        <f t="shared" si="12"/>
        <v>5</v>
      </c>
      <c r="M93" s="478"/>
    </row>
    <row r="94" s="291" customFormat="1" ht="24.95" customHeight="1" spans="1:13">
      <c r="A94" s="310">
        <v>2012604</v>
      </c>
      <c r="B94" s="321" t="s">
        <v>124</v>
      </c>
      <c r="C94" s="492">
        <v>111</v>
      </c>
      <c r="D94" s="322"/>
      <c r="E94" s="322">
        <f t="shared" si="13"/>
        <v>111</v>
      </c>
      <c r="F94" s="322"/>
      <c r="G94" s="322"/>
      <c r="H94" s="322">
        <f t="shared" si="10"/>
        <v>111</v>
      </c>
      <c r="I94" s="322">
        <v>111</v>
      </c>
      <c r="J94" s="494">
        <f t="shared" si="11"/>
        <v>0</v>
      </c>
      <c r="K94" s="326"/>
      <c r="L94" s="316">
        <f t="shared" si="12"/>
        <v>7</v>
      </c>
      <c r="M94" s="478"/>
    </row>
    <row r="95" s="291" customFormat="1" ht="39" customHeight="1" spans="1:13">
      <c r="A95" s="310">
        <v>20128</v>
      </c>
      <c r="B95" s="330" t="s">
        <v>125</v>
      </c>
      <c r="C95" s="489">
        <v>771</v>
      </c>
      <c r="D95" s="490"/>
      <c r="E95" s="318">
        <f t="shared" si="13"/>
        <v>771</v>
      </c>
      <c r="F95" s="490"/>
      <c r="G95" s="490"/>
      <c r="H95" s="318">
        <f t="shared" si="10"/>
        <v>771</v>
      </c>
      <c r="I95" s="318">
        <f>SUM(I96:I100)</f>
        <v>883</v>
      </c>
      <c r="J95" s="491">
        <f t="shared" si="11"/>
        <v>0.14526588845655</v>
      </c>
      <c r="K95" s="330"/>
      <c r="L95" s="316">
        <f t="shared" si="12"/>
        <v>5</v>
      </c>
      <c r="M95" s="478"/>
    </row>
    <row r="96" s="291" customFormat="1" ht="24.95" customHeight="1" spans="1:13">
      <c r="A96" s="310">
        <v>2012801</v>
      </c>
      <c r="B96" s="321" t="s">
        <v>49</v>
      </c>
      <c r="C96" s="492">
        <v>490</v>
      </c>
      <c r="D96" s="322"/>
      <c r="E96" s="322">
        <f t="shared" si="13"/>
        <v>490</v>
      </c>
      <c r="F96" s="322"/>
      <c r="G96" s="322"/>
      <c r="H96" s="322">
        <f t="shared" si="10"/>
        <v>490</v>
      </c>
      <c r="I96" s="322">
        <v>647</v>
      </c>
      <c r="J96" s="494">
        <f t="shared" si="11"/>
        <v>0.320408163265306</v>
      </c>
      <c r="K96" s="326" t="s">
        <v>126</v>
      </c>
      <c r="L96" s="316">
        <f t="shared" si="12"/>
        <v>7</v>
      </c>
      <c r="M96" s="478"/>
    </row>
    <row r="97" s="291" customFormat="1" ht="24.95" customHeight="1" spans="1:13">
      <c r="A97" s="310">
        <v>2012802</v>
      </c>
      <c r="B97" s="321" t="s">
        <v>50</v>
      </c>
      <c r="C97" s="492">
        <v>31</v>
      </c>
      <c r="D97" s="322"/>
      <c r="E97" s="322">
        <f t="shared" si="13"/>
        <v>31</v>
      </c>
      <c r="F97" s="322"/>
      <c r="G97" s="322"/>
      <c r="H97" s="322">
        <f t="shared" si="10"/>
        <v>31</v>
      </c>
      <c r="I97" s="322">
        <v>25</v>
      </c>
      <c r="J97" s="494">
        <f t="shared" si="11"/>
        <v>-0.193548387096774</v>
      </c>
      <c r="K97" s="326"/>
      <c r="L97" s="316">
        <f t="shared" si="12"/>
        <v>7</v>
      </c>
      <c r="M97" s="478"/>
    </row>
    <row r="98" s="291" customFormat="1" ht="24.95" customHeight="1" spans="1:13">
      <c r="A98" s="310">
        <v>2012804</v>
      </c>
      <c r="B98" s="321" t="s">
        <v>61</v>
      </c>
      <c r="C98" s="492">
        <v>106</v>
      </c>
      <c r="D98" s="322"/>
      <c r="E98" s="322">
        <f t="shared" si="13"/>
        <v>106</v>
      </c>
      <c r="F98" s="322"/>
      <c r="G98" s="322"/>
      <c r="H98" s="322">
        <f t="shared" si="10"/>
        <v>106</v>
      </c>
      <c r="I98" s="322">
        <v>72</v>
      </c>
      <c r="J98" s="494">
        <f t="shared" si="11"/>
        <v>-0.320754716981132</v>
      </c>
      <c r="K98" s="326" t="s">
        <v>127</v>
      </c>
      <c r="L98" s="316">
        <f t="shared" si="12"/>
        <v>7</v>
      </c>
      <c r="M98" s="478"/>
    </row>
    <row r="99" s="291" customFormat="1" ht="24.95" customHeight="1" spans="1:13">
      <c r="A99" s="310">
        <v>2012850</v>
      </c>
      <c r="B99" s="321" t="s">
        <v>65</v>
      </c>
      <c r="C99" s="492">
        <v>24</v>
      </c>
      <c r="D99" s="322"/>
      <c r="E99" s="322">
        <f t="shared" si="13"/>
        <v>24</v>
      </c>
      <c r="F99" s="322"/>
      <c r="G99" s="322"/>
      <c r="H99" s="322">
        <f t="shared" si="10"/>
        <v>24</v>
      </c>
      <c r="I99" s="322">
        <v>24</v>
      </c>
      <c r="J99" s="494">
        <f t="shared" si="11"/>
        <v>0</v>
      </c>
      <c r="K99" s="326"/>
      <c r="L99" s="316">
        <f t="shared" si="12"/>
        <v>7</v>
      </c>
      <c r="M99" s="478"/>
    </row>
    <row r="100" s="291" customFormat="1" ht="39.95" customHeight="1" spans="1:13">
      <c r="A100" s="310">
        <v>2012899</v>
      </c>
      <c r="B100" s="326" t="s">
        <v>128</v>
      </c>
      <c r="C100" s="492">
        <v>120</v>
      </c>
      <c r="D100" s="322"/>
      <c r="E100" s="322">
        <f t="shared" si="13"/>
        <v>120</v>
      </c>
      <c r="F100" s="322"/>
      <c r="G100" s="322"/>
      <c r="H100" s="322">
        <f t="shared" si="10"/>
        <v>120</v>
      </c>
      <c r="I100" s="322">
        <v>115</v>
      </c>
      <c r="J100" s="494">
        <f t="shared" si="11"/>
        <v>-0.0416666666666666</v>
      </c>
      <c r="K100" s="326"/>
      <c r="L100" s="316">
        <f t="shared" si="12"/>
        <v>7</v>
      </c>
      <c r="M100" s="478"/>
    </row>
    <row r="101" s="291" customFormat="1" ht="24.95" customHeight="1" spans="1:13">
      <c r="A101" s="310">
        <v>20129</v>
      </c>
      <c r="B101" s="317" t="s">
        <v>129</v>
      </c>
      <c r="C101" s="489">
        <v>12575</v>
      </c>
      <c r="D101" s="490"/>
      <c r="E101" s="318">
        <f t="shared" si="13"/>
        <v>12575</v>
      </c>
      <c r="F101" s="490"/>
      <c r="G101" s="490"/>
      <c r="H101" s="318">
        <f t="shared" si="10"/>
        <v>12575</v>
      </c>
      <c r="I101" s="318">
        <f>SUM(I102:I106)</f>
        <v>12640</v>
      </c>
      <c r="J101" s="491">
        <f t="shared" si="11"/>
        <v>0.00516898608349892</v>
      </c>
      <c r="K101" s="330"/>
      <c r="L101" s="316">
        <f t="shared" si="12"/>
        <v>5</v>
      </c>
      <c r="M101" s="478"/>
    </row>
    <row r="102" s="291" customFormat="1" ht="24.95" customHeight="1" spans="1:13">
      <c r="A102" s="310">
        <v>2012901</v>
      </c>
      <c r="B102" s="321" t="s">
        <v>49</v>
      </c>
      <c r="C102" s="492">
        <v>6465</v>
      </c>
      <c r="D102" s="322"/>
      <c r="E102" s="322">
        <f t="shared" si="13"/>
        <v>6465</v>
      </c>
      <c r="F102" s="322"/>
      <c r="G102" s="322"/>
      <c r="H102" s="322">
        <f t="shared" si="10"/>
        <v>6465</v>
      </c>
      <c r="I102" s="322">
        <v>6550</v>
      </c>
      <c r="J102" s="494">
        <f t="shared" si="11"/>
        <v>0.0131477184841453</v>
      </c>
      <c r="K102" s="326"/>
      <c r="L102" s="316">
        <f t="shared" si="12"/>
        <v>7</v>
      </c>
      <c r="M102" s="478"/>
    </row>
    <row r="103" s="291" customFormat="1" ht="24.95" customHeight="1" spans="1:13">
      <c r="A103" s="310">
        <v>2012902</v>
      </c>
      <c r="B103" s="321" t="s">
        <v>50</v>
      </c>
      <c r="C103" s="492">
        <v>52</v>
      </c>
      <c r="D103" s="322"/>
      <c r="E103" s="322">
        <f t="shared" si="13"/>
        <v>52</v>
      </c>
      <c r="F103" s="322"/>
      <c r="G103" s="322"/>
      <c r="H103" s="322">
        <f t="shared" si="10"/>
        <v>52</v>
      </c>
      <c r="I103" s="322">
        <v>51</v>
      </c>
      <c r="J103" s="494">
        <f t="shared" si="11"/>
        <v>-0.0192307692307693</v>
      </c>
      <c r="K103" s="326"/>
      <c r="L103" s="316">
        <f t="shared" si="12"/>
        <v>7</v>
      </c>
      <c r="M103" s="478"/>
    </row>
    <row r="104" s="291" customFormat="1" ht="24.95" customHeight="1" spans="1:13">
      <c r="A104" s="310">
        <v>2012906</v>
      </c>
      <c r="B104" s="321" t="s">
        <v>130</v>
      </c>
      <c r="C104" s="492">
        <v>183</v>
      </c>
      <c r="D104" s="322"/>
      <c r="E104" s="322">
        <f t="shared" si="13"/>
        <v>183</v>
      </c>
      <c r="F104" s="322"/>
      <c r="G104" s="322"/>
      <c r="H104" s="322">
        <f t="shared" si="10"/>
        <v>183</v>
      </c>
      <c r="I104" s="322">
        <v>182</v>
      </c>
      <c r="J104" s="494">
        <f t="shared" si="11"/>
        <v>-0.00546448087431695</v>
      </c>
      <c r="K104" s="326"/>
      <c r="L104" s="316">
        <f t="shared" si="12"/>
        <v>7</v>
      </c>
      <c r="M104" s="478"/>
    </row>
    <row r="105" s="291" customFormat="1" ht="24.95" customHeight="1" spans="1:13">
      <c r="A105" s="310">
        <v>2012950</v>
      </c>
      <c r="B105" s="321" t="s">
        <v>65</v>
      </c>
      <c r="C105" s="492">
        <v>533</v>
      </c>
      <c r="D105" s="322"/>
      <c r="E105" s="322">
        <f t="shared" si="13"/>
        <v>533</v>
      </c>
      <c r="F105" s="322"/>
      <c r="G105" s="322"/>
      <c r="H105" s="322">
        <f t="shared" si="10"/>
        <v>533</v>
      </c>
      <c r="I105" s="322">
        <v>546</v>
      </c>
      <c r="J105" s="494">
        <f t="shared" si="11"/>
        <v>0.024390243902439</v>
      </c>
      <c r="K105" s="326"/>
      <c r="L105" s="316">
        <f t="shared" si="12"/>
        <v>7</v>
      </c>
      <c r="M105" s="478"/>
    </row>
    <row r="106" s="291" customFormat="1" ht="24.95" customHeight="1" spans="1:13">
      <c r="A106" s="310">
        <v>2012999</v>
      </c>
      <c r="B106" s="321" t="s">
        <v>131</v>
      </c>
      <c r="C106" s="492">
        <v>5342</v>
      </c>
      <c r="D106" s="322"/>
      <c r="E106" s="322">
        <f t="shared" si="13"/>
        <v>5342</v>
      </c>
      <c r="F106" s="322"/>
      <c r="G106" s="322"/>
      <c r="H106" s="322">
        <f t="shared" si="10"/>
        <v>5342</v>
      </c>
      <c r="I106" s="322">
        <v>5311</v>
      </c>
      <c r="J106" s="494">
        <f t="shared" si="11"/>
        <v>-0.0058030700112317</v>
      </c>
      <c r="K106" s="326"/>
      <c r="L106" s="316">
        <f t="shared" si="12"/>
        <v>7</v>
      </c>
      <c r="M106" s="478"/>
    </row>
    <row r="107" s="291" customFormat="1" ht="24.95" customHeight="1" spans="1:13">
      <c r="A107" s="310">
        <v>20132</v>
      </c>
      <c r="B107" s="317" t="s">
        <v>132</v>
      </c>
      <c r="C107" s="489">
        <v>7360</v>
      </c>
      <c r="D107" s="490"/>
      <c r="E107" s="318">
        <f t="shared" si="13"/>
        <v>7360</v>
      </c>
      <c r="F107" s="490"/>
      <c r="G107" s="490"/>
      <c r="H107" s="318">
        <f t="shared" si="10"/>
        <v>7360</v>
      </c>
      <c r="I107" s="318">
        <f>SUM(I108:I110)</f>
        <v>7605</v>
      </c>
      <c r="J107" s="491">
        <f t="shared" si="11"/>
        <v>0.033288043478261</v>
      </c>
      <c r="K107" s="330"/>
      <c r="L107" s="316">
        <f t="shared" si="12"/>
        <v>5</v>
      </c>
      <c r="M107" s="478"/>
    </row>
    <row r="108" s="291" customFormat="1" ht="24.95" customHeight="1" spans="1:13">
      <c r="A108" s="310">
        <v>2013201</v>
      </c>
      <c r="B108" s="321" t="s">
        <v>49</v>
      </c>
      <c r="C108" s="492">
        <v>2213</v>
      </c>
      <c r="D108" s="322"/>
      <c r="E108" s="322">
        <f t="shared" si="13"/>
        <v>2213</v>
      </c>
      <c r="F108" s="322"/>
      <c r="G108" s="322"/>
      <c r="H108" s="322">
        <f t="shared" si="10"/>
        <v>2213</v>
      </c>
      <c r="I108" s="322">
        <v>2762</v>
      </c>
      <c r="J108" s="494">
        <f t="shared" si="11"/>
        <v>0.248079530049706</v>
      </c>
      <c r="K108" s="326" t="s">
        <v>133</v>
      </c>
      <c r="L108" s="316">
        <f t="shared" si="12"/>
        <v>7</v>
      </c>
      <c r="M108" s="478"/>
    </row>
    <row r="109" s="291" customFormat="1" ht="24.95" customHeight="1" spans="1:13">
      <c r="A109" s="310">
        <v>2013202</v>
      </c>
      <c r="B109" s="321" t="s">
        <v>50</v>
      </c>
      <c r="C109" s="492">
        <v>714</v>
      </c>
      <c r="D109" s="322"/>
      <c r="E109" s="322">
        <f t="shared" si="13"/>
        <v>714</v>
      </c>
      <c r="F109" s="322"/>
      <c r="G109" s="322"/>
      <c r="H109" s="322">
        <f t="shared" si="10"/>
        <v>714</v>
      </c>
      <c r="I109" s="322">
        <v>802</v>
      </c>
      <c r="J109" s="494">
        <f t="shared" si="11"/>
        <v>0.123249299719888</v>
      </c>
      <c r="K109" s="326"/>
      <c r="L109" s="316">
        <f t="shared" si="12"/>
        <v>7</v>
      </c>
      <c r="M109" s="478"/>
    </row>
    <row r="110" s="291" customFormat="1" ht="24.95" customHeight="1" spans="1:13">
      <c r="A110" s="310">
        <v>2013299</v>
      </c>
      <c r="B110" s="321" t="s">
        <v>134</v>
      </c>
      <c r="C110" s="492">
        <v>4433</v>
      </c>
      <c r="D110" s="322"/>
      <c r="E110" s="322">
        <f t="shared" si="13"/>
        <v>4433</v>
      </c>
      <c r="F110" s="322"/>
      <c r="G110" s="322"/>
      <c r="H110" s="322">
        <f t="shared" si="10"/>
        <v>4433</v>
      </c>
      <c r="I110" s="322">
        <v>4041</v>
      </c>
      <c r="J110" s="494">
        <f t="shared" si="11"/>
        <v>-0.0884277013309271</v>
      </c>
      <c r="K110" s="326"/>
      <c r="L110" s="316">
        <f t="shared" si="12"/>
        <v>7</v>
      </c>
      <c r="M110" s="478"/>
    </row>
    <row r="111" s="291" customFormat="1" ht="24.95" customHeight="1" spans="1:13">
      <c r="A111" s="310">
        <v>20133</v>
      </c>
      <c r="B111" s="317" t="s">
        <v>135</v>
      </c>
      <c r="C111" s="489">
        <v>18246</v>
      </c>
      <c r="D111" s="490"/>
      <c r="E111" s="318">
        <f t="shared" si="13"/>
        <v>18246</v>
      </c>
      <c r="F111" s="490"/>
      <c r="G111" s="490"/>
      <c r="H111" s="318">
        <f t="shared" si="10"/>
        <v>18246</v>
      </c>
      <c r="I111" s="318">
        <f>SUM(I112:I114)</f>
        <v>17887</v>
      </c>
      <c r="J111" s="491">
        <f t="shared" si="11"/>
        <v>-0.0196755453250027</v>
      </c>
      <c r="K111" s="330"/>
      <c r="L111" s="316">
        <f t="shared" si="12"/>
        <v>5</v>
      </c>
      <c r="M111" s="478"/>
    </row>
    <row r="112" s="291" customFormat="1" ht="24.95" customHeight="1" spans="1:13">
      <c r="A112" s="310">
        <v>2013301</v>
      </c>
      <c r="B112" s="321" t="s">
        <v>49</v>
      </c>
      <c r="C112" s="492">
        <v>1155</v>
      </c>
      <c r="D112" s="322"/>
      <c r="E112" s="322">
        <f t="shared" si="13"/>
        <v>1155</v>
      </c>
      <c r="F112" s="322"/>
      <c r="G112" s="322"/>
      <c r="H112" s="322">
        <f t="shared" si="10"/>
        <v>1155</v>
      </c>
      <c r="I112" s="322">
        <v>1397</v>
      </c>
      <c r="J112" s="494">
        <f t="shared" si="11"/>
        <v>0.209523809523809</v>
      </c>
      <c r="K112" s="326"/>
      <c r="L112" s="316">
        <f t="shared" si="12"/>
        <v>7</v>
      </c>
      <c r="M112" s="478"/>
    </row>
    <row r="113" s="291" customFormat="1" ht="24.95" customHeight="1" spans="1:13">
      <c r="A113" s="310">
        <v>2013302</v>
      </c>
      <c r="B113" s="321" t="s">
        <v>50</v>
      </c>
      <c r="C113" s="492">
        <v>8176</v>
      </c>
      <c r="D113" s="322"/>
      <c r="E113" s="322">
        <f t="shared" si="13"/>
        <v>8176</v>
      </c>
      <c r="F113" s="322"/>
      <c r="G113" s="322"/>
      <c r="H113" s="322">
        <f t="shared" si="10"/>
        <v>8176</v>
      </c>
      <c r="I113" s="322">
        <v>7809</v>
      </c>
      <c r="J113" s="494">
        <f t="shared" si="11"/>
        <v>-0.0448874755381604</v>
      </c>
      <c r="K113" s="326"/>
      <c r="L113" s="316">
        <f t="shared" si="12"/>
        <v>7</v>
      </c>
      <c r="M113" s="478"/>
    </row>
    <row r="114" s="291" customFormat="1" ht="24.95" customHeight="1" spans="1:13">
      <c r="A114" s="310">
        <v>2013399</v>
      </c>
      <c r="B114" s="321" t="s">
        <v>136</v>
      </c>
      <c r="C114" s="492">
        <v>8915</v>
      </c>
      <c r="D114" s="322"/>
      <c r="E114" s="322">
        <f t="shared" si="13"/>
        <v>8915</v>
      </c>
      <c r="F114" s="322"/>
      <c r="G114" s="322"/>
      <c r="H114" s="322">
        <f t="shared" si="10"/>
        <v>8915</v>
      </c>
      <c r="I114" s="322">
        <v>8681</v>
      </c>
      <c r="J114" s="494">
        <f t="shared" si="11"/>
        <v>-0.0262478968031408</v>
      </c>
      <c r="K114" s="326"/>
      <c r="L114" s="316">
        <f t="shared" si="12"/>
        <v>7</v>
      </c>
      <c r="M114" s="478"/>
    </row>
    <row r="115" s="291" customFormat="1" ht="24.95" customHeight="1" spans="1:13">
      <c r="A115" s="310">
        <v>20134</v>
      </c>
      <c r="B115" s="317" t="s">
        <v>137</v>
      </c>
      <c r="C115" s="489">
        <v>2103</v>
      </c>
      <c r="D115" s="490"/>
      <c r="E115" s="318">
        <f t="shared" si="13"/>
        <v>2103</v>
      </c>
      <c r="F115" s="490"/>
      <c r="G115" s="490"/>
      <c r="H115" s="318">
        <f t="shared" si="10"/>
        <v>2103</v>
      </c>
      <c r="I115" s="318">
        <f>SUM(I116:I118)</f>
        <v>2360</v>
      </c>
      <c r="J115" s="491">
        <f t="shared" si="11"/>
        <v>0.122206371849738</v>
      </c>
      <c r="K115" s="330"/>
      <c r="L115" s="316">
        <f t="shared" si="12"/>
        <v>5</v>
      </c>
      <c r="M115" s="478"/>
    </row>
    <row r="116" s="291" customFormat="1" ht="24.95" customHeight="1" spans="1:13">
      <c r="A116" s="310">
        <v>2013401</v>
      </c>
      <c r="B116" s="321" t="s">
        <v>49</v>
      </c>
      <c r="C116" s="492">
        <v>816</v>
      </c>
      <c r="D116" s="322"/>
      <c r="E116" s="322">
        <f t="shared" si="13"/>
        <v>816</v>
      </c>
      <c r="F116" s="322"/>
      <c r="G116" s="322"/>
      <c r="H116" s="322">
        <f t="shared" si="10"/>
        <v>816</v>
      </c>
      <c r="I116" s="322">
        <v>1064</v>
      </c>
      <c r="J116" s="494">
        <f t="shared" si="11"/>
        <v>0.303921568627451</v>
      </c>
      <c r="K116" s="326" t="s">
        <v>138</v>
      </c>
      <c r="L116" s="316">
        <f t="shared" si="12"/>
        <v>7</v>
      </c>
      <c r="M116" s="478"/>
    </row>
    <row r="117" s="291" customFormat="1" ht="24.95" customHeight="1" spans="1:13">
      <c r="A117" s="310">
        <v>2013404</v>
      </c>
      <c r="B117" s="321" t="s">
        <v>139</v>
      </c>
      <c r="C117" s="492">
        <v>23</v>
      </c>
      <c r="D117" s="322"/>
      <c r="E117" s="322">
        <f t="shared" si="13"/>
        <v>23</v>
      </c>
      <c r="F117" s="322"/>
      <c r="G117" s="322"/>
      <c r="H117" s="322">
        <f t="shared" si="10"/>
        <v>23</v>
      </c>
      <c r="I117" s="322">
        <v>23</v>
      </c>
      <c r="J117" s="494">
        <f t="shared" si="11"/>
        <v>0</v>
      </c>
      <c r="K117" s="326"/>
      <c r="L117" s="316">
        <f t="shared" si="12"/>
        <v>7</v>
      </c>
      <c r="M117" s="478"/>
    </row>
    <row r="118" s="291" customFormat="1" ht="24.95" customHeight="1" spans="1:13">
      <c r="A118" s="310">
        <v>2013499</v>
      </c>
      <c r="B118" s="321" t="s">
        <v>140</v>
      </c>
      <c r="C118" s="492">
        <v>1264</v>
      </c>
      <c r="D118" s="322"/>
      <c r="E118" s="322">
        <f t="shared" si="13"/>
        <v>1264</v>
      </c>
      <c r="F118" s="322"/>
      <c r="G118" s="322"/>
      <c r="H118" s="322">
        <f t="shared" si="10"/>
        <v>1264</v>
      </c>
      <c r="I118" s="322">
        <v>1273</v>
      </c>
      <c r="J118" s="494">
        <f t="shared" si="11"/>
        <v>0.00712025316455689</v>
      </c>
      <c r="K118" s="326"/>
      <c r="L118" s="316">
        <f t="shared" si="12"/>
        <v>7</v>
      </c>
      <c r="M118" s="478"/>
    </row>
    <row r="119" s="291" customFormat="1" ht="45" customHeight="1" spans="1:13">
      <c r="A119" s="310">
        <v>20136</v>
      </c>
      <c r="B119" s="330" t="s">
        <v>141</v>
      </c>
      <c r="C119" s="489">
        <v>10139</v>
      </c>
      <c r="D119" s="490"/>
      <c r="E119" s="318">
        <f t="shared" si="13"/>
        <v>10139</v>
      </c>
      <c r="F119" s="490"/>
      <c r="G119" s="490"/>
      <c r="H119" s="318">
        <f t="shared" si="10"/>
        <v>10139</v>
      </c>
      <c r="I119" s="318">
        <f>SUM(I120:I122)</f>
        <v>10230</v>
      </c>
      <c r="J119" s="491">
        <f t="shared" si="11"/>
        <v>0.00897524410691397</v>
      </c>
      <c r="K119" s="330"/>
      <c r="L119" s="316">
        <f t="shared" si="12"/>
        <v>5</v>
      </c>
      <c r="M119" s="478"/>
    </row>
    <row r="120" s="291" customFormat="1" ht="24.95" customHeight="1" spans="1:13">
      <c r="A120" s="310">
        <v>2013601</v>
      </c>
      <c r="B120" s="321" t="s">
        <v>49</v>
      </c>
      <c r="C120" s="492">
        <v>2617</v>
      </c>
      <c r="D120" s="322"/>
      <c r="E120" s="322">
        <f t="shared" si="13"/>
        <v>2617</v>
      </c>
      <c r="F120" s="322"/>
      <c r="G120" s="322"/>
      <c r="H120" s="322">
        <f t="shared" si="10"/>
        <v>2617</v>
      </c>
      <c r="I120" s="322">
        <v>3089</v>
      </c>
      <c r="J120" s="494">
        <f t="shared" si="11"/>
        <v>0.180359189912113</v>
      </c>
      <c r="K120" s="326"/>
      <c r="L120" s="316">
        <f t="shared" si="12"/>
        <v>7</v>
      </c>
      <c r="M120" s="478"/>
    </row>
    <row r="121" s="291" customFormat="1" ht="24.95" customHeight="1" spans="1:13">
      <c r="A121" s="310">
        <v>2013602</v>
      </c>
      <c r="B121" s="321" t="s">
        <v>50</v>
      </c>
      <c r="C121" s="492">
        <v>88</v>
      </c>
      <c r="D121" s="322"/>
      <c r="E121" s="322">
        <f t="shared" si="13"/>
        <v>88</v>
      </c>
      <c r="F121" s="322"/>
      <c r="G121" s="322"/>
      <c r="H121" s="322">
        <f t="shared" si="10"/>
        <v>88</v>
      </c>
      <c r="I121" s="322">
        <v>82</v>
      </c>
      <c r="J121" s="494">
        <f t="shared" si="11"/>
        <v>-0.0681818181818182</v>
      </c>
      <c r="K121" s="326"/>
      <c r="L121" s="316">
        <f t="shared" si="12"/>
        <v>7</v>
      </c>
      <c r="M121" s="478"/>
    </row>
    <row r="122" s="291" customFormat="1" ht="24.95" customHeight="1" spans="1:13">
      <c r="A122" s="310">
        <v>2013699</v>
      </c>
      <c r="B122" s="321" t="s">
        <v>142</v>
      </c>
      <c r="C122" s="492">
        <v>7434</v>
      </c>
      <c r="D122" s="322"/>
      <c r="E122" s="322">
        <f t="shared" si="13"/>
        <v>7434</v>
      </c>
      <c r="F122" s="322"/>
      <c r="G122" s="322"/>
      <c r="H122" s="322">
        <f t="shared" si="10"/>
        <v>7434</v>
      </c>
      <c r="I122" s="322">
        <v>7059</v>
      </c>
      <c r="J122" s="494">
        <f t="shared" si="11"/>
        <v>-0.0504439063761097</v>
      </c>
      <c r="K122" s="326"/>
      <c r="L122" s="316">
        <f t="shared" si="12"/>
        <v>7</v>
      </c>
      <c r="M122" s="478"/>
    </row>
    <row r="123" s="291" customFormat="1" ht="24.95" customHeight="1" spans="1:13">
      <c r="A123" s="310">
        <v>20137</v>
      </c>
      <c r="B123" s="335" t="s">
        <v>143</v>
      </c>
      <c r="C123" s="489"/>
      <c r="D123" s="490"/>
      <c r="E123" s="318">
        <v>0</v>
      </c>
      <c r="F123" s="490"/>
      <c r="G123" s="490"/>
      <c r="H123" s="318">
        <v>0</v>
      </c>
      <c r="I123" s="318">
        <f>SUM(I124:I124)</f>
        <v>3801</v>
      </c>
      <c r="J123" s="496">
        <v>0</v>
      </c>
      <c r="K123" s="330"/>
      <c r="L123" s="316">
        <v>5</v>
      </c>
      <c r="M123" s="478"/>
    </row>
    <row r="124" s="291" customFormat="1" ht="84.95" customHeight="1" spans="1:13">
      <c r="A124" s="310">
        <v>2013799</v>
      </c>
      <c r="B124" s="326" t="s">
        <v>144</v>
      </c>
      <c r="C124" s="492"/>
      <c r="D124" s="322"/>
      <c r="E124" s="322">
        <v>0</v>
      </c>
      <c r="F124" s="322"/>
      <c r="G124" s="322"/>
      <c r="H124" s="322">
        <v>0</v>
      </c>
      <c r="I124" s="322">
        <v>3801</v>
      </c>
      <c r="J124" s="495">
        <v>0</v>
      </c>
      <c r="K124" s="326" t="s">
        <v>145</v>
      </c>
      <c r="L124" s="316">
        <v>7</v>
      </c>
      <c r="M124" s="478"/>
    </row>
    <row r="125" s="291" customFormat="1" ht="51" customHeight="1" spans="1:13">
      <c r="A125" s="310">
        <v>20138</v>
      </c>
      <c r="B125" s="330" t="s">
        <v>146</v>
      </c>
      <c r="C125" s="489">
        <v>12678</v>
      </c>
      <c r="D125" s="490"/>
      <c r="E125" s="318">
        <f t="shared" ref="E125:E139" si="14">C125+D125</f>
        <v>12678</v>
      </c>
      <c r="F125" s="490"/>
      <c r="G125" s="490"/>
      <c r="H125" s="318">
        <f t="shared" ref="H125:H161" si="15">E125-F125-G125</f>
        <v>12678</v>
      </c>
      <c r="I125" s="318">
        <f>SUM(I126:I131)</f>
        <v>11806</v>
      </c>
      <c r="J125" s="491">
        <f t="shared" si="11"/>
        <v>-0.0687805647578482</v>
      </c>
      <c r="K125" s="330"/>
      <c r="L125" s="316">
        <f t="shared" ref="L125:L161" si="16">LEN(A125)</f>
        <v>5</v>
      </c>
      <c r="M125" s="478"/>
    </row>
    <row r="126" s="291" customFormat="1" ht="24.95" customHeight="1" spans="1:13">
      <c r="A126" s="310">
        <v>2013801</v>
      </c>
      <c r="B126" s="321" t="s">
        <v>49</v>
      </c>
      <c r="C126" s="492">
        <v>68</v>
      </c>
      <c r="D126" s="322"/>
      <c r="E126" s="322">
        <f t="shared" si="14"/>
        <v>68</v>
      </c>
      <c r="F126" s="322"/>
      <c r="G126" s="322"/>
      <c r="H126" s="322">
        <f t="shared" si="15"/>
        <v>68</v>
      </c>
      <c r="I126" s="322">
        <v>46</v>
      </c>
      <c r="J126" s="494">
        <f t="shared" si="11"/>
        <v>-0.323529411764706</v>
      </c>
      <c r="K126" s="326" t="s">
        <v>147</v>
      </c>
      <c r="L126" s="316">
        <f t="shared" si="16"/>
        <v>7</v>
      </c>
      <c r="M126" s="478"/>
    </row>
    <row r="127" s="291" customFormat="1" ht="24.95" customHeight="1" spans="1:13">
      <c r="A127" s="310">
        <v>2013802</v>
      </c>
      <c r="B127" s="321" t="s">
        <v>50</v>
      </c>
      <c r="C127" s="492">
        <v>10</v>
      </c>
      <c r="D127" s="322"/>
      <c r="E127" s="322">
        <f t="shared" si="14"/>
        <v>10</v>
      </c>
      <c r="F127" s="322"/>
      <c r="G127" s="322"/>
      <c r="H127" s="322">
        <f t="shared" si="15"/>
        <v>10</v>
      </c>
      <c r="I127" s="322">
        <v>7</v>
      </c>
      <c r="J127" s="494">
        <f t="shared" si="11"/>
        <v>-0.3</v>
      </c>
      <c r="K127" s="326" t="s">
        <v>148</v>
      </c>
      <c r="L127" s="316">
        <f t="shared" si="16"/>
        <v>7</v>
      </c>
      <c r="M127" s="478"/>
    </row>
    <row r="128" s="291" customFormat="1" ht="24.95" customHeight="1" spans="1:13">
      <c r="A128" s="310">
        <v>2013804</v>
      </c>
      <c r="B128" s="321" t="s">
        <v>149</v>
      </c>
      <c r="C128" s="492">
        <v>700</v>
      </c>
      <c r="D128" s="322"/>
      <c r="E128" s="322">
        <f t="shared" si="14"/>
        <v>700</v>
      </c>
      <c r="F128" s="322"/>
      <c r="G128" s="322"/>
      <c r="H128" s="322">
        <f t="shared" si="15"/>
        <v>700</v>
      </c>
      <c r="I128" s="322">
        <v>516</v>
      </c>
      <c r="J128" s="494">
        <f t="shared" si="11"/>
        <v>-0.262857142857143</v>
      </c>
      <c r="K128" s="326"/>
      <c r="L128" s="316">
        <f t="shared" si="16"/>
        <v>7</v>
      </c>
      <c r="M128" s="478"/>
    </row>
    <row r="129" s="291" customFormat="1" ht="24.95" customHeight="1" spans="1:13">
      <c r="A129" s="310">
        <v>2013806</v>
      </c>
      <c r="B129" s="321" t="s">
        <v>113</v>
      </c>
      <c r="C129" s="492">
        <v>139</v>
      </c>
      <c r="D129" s="322"/>
      <c r="E129" s="322">
        <f t="shared" si="14"/>
        <v>139</v>
      </c>
      <c r="F129" s="322"/>
      <c r="G129" s="322"/>
      <c r="H129" s="322">
        <f t="shared" si="15"/>
        <v>139</v>
      </c>
      <c r="I129" s="322">
        <v>130</v>
      </c>
      <c r="J129" s="494">
        <f t="shared" si="11"/>
        <v>-0.064748201438849</v>
      </c>
      <c r="K129" s="326"/>
      <c r="L129" s="316">
        <f t="shared" si="16"/>
        <v>7</v>
      </c>
      <c r="M129" s="478"/>
    </row>
    <row r="130" s="291" customFormat="1" ht="24.95" customHeight="1" spans="1:13">
      <c r="A130" s="310">
        <v>2013850</v>
      </c>
      <c r="B130" s="321" t="s">
        <v>65</v>
      </c>
      <c r="C130" s="492">
        <v>348</v>
      </c>
      <c r="D130" s="322"/>
      <c r="E130" s="322">
        <f t="shared" si="14"/>
        <v>348</v>
      </c>
      <c r="F130" s="322"/>
      <c r="G130" s="322"/>
      <c r="H130" s="322">
        <f t="shared" si="15"/>
        <v>348</v>
      </c>
      <c r="I130" s="322">
        <v>426</v>
      </c>
      <c r="J130" s="494">
        <f t="shared" si="11"/>
        <v>0.224137931034483</v>
      </c>
      <c r="K130" s="326"/>
      <c r="L130" s="316">
        <f t="shared" si="16"/>
        <v>7</v>
      </c>
      <c r="M130" s="478"/>
    </row>
    <row r="131" s="291" customFormat="1" ht="50.1" customHeight="1" spans="1:13">
      <c r="A131" s="310">
        <v>2013899</v>
      </c>
      <c r="B131" s="321" t="s">
        <v>150</v>
      </c>
      <c r="C131" s="492">
        <v>11413</v>
      </c>
      <c r="D131" s="322"/>
      <c r="E131" s="322">
        <f t="shared" si="14"/>
        <v>11413</v>
      </c>
      <c r="F131" s="322"/>
      <c r="G131" s="322"/>
      <c r="H131" s="322">
        <f t="shared" si="15"/>
        <v>11413</v>
      </c>
      <c r="I131" s="322">
        <v>10681</v>
      </c>
      <c r="J131" s="494">
        <f t="shared" si="11"/>
        <v>-0.0641373871900465</v>
      </c>
      <c r="K131" s="326" t="s">
        <v>151</v>
      </c>
      <c r="L131" s="316">
        <f t="shared" si="16"/>
        <v>7</v>
      </c>
      <c r="M131" s="478"/>
    </row>
    <row r="132" s="291" customFormat="1" ht="45" customHeight="1" spans="1:13">
      <c r="A132" s="310">
        <v>20199</v>
      </c>
      <c r="B132" s="317" t="s">
        <v>152</v>
      </c>
      <c r="C132" s="489">
        <v>14363</v>
      </c>
      <c r="D132" s="490"/>
      <c r="E132" s="318">
        <f t="shared" si="14"/>
        <v>14363</v>
      </c>
      <c r="F132" s="490"/>
      <c r="G132" s="490"/>
      <c r="H132" s="318">
        <f t="shared" si="15"/>
        <v>14363</v>
      </c>
      <c r="I132" s="318">
        <f t="shared" ref="I132:I137" si="17">I133</f>
        <v>14829</v>
      </c>
      <c r="J132" s="491">
        <f t="shared" si="11"/>
        <v>0.0324444753881501</v>
      </c>
      <c r="K132" s="330"/>
      <c r="L132" s="316">
        <f t="shared" si="16"/>
        <v>5</v>
      </c>
      <c r="M132" s="478"/>
    </row>
    <row r="133" s="291" customFormat="1" ht="24.95" customHeight="1" spans="1:13">
      <c r="A133" s="310">
        <v>2019999</v>
      </c>
      <c r="B133" s="321" t="s">
        <v>153</v>
      </c>
      <c r="C133" s="492">
        <v>14363</v>
      </c>
      <c r="D133" s="322"/>
      <c r="E133" s="322">
        <f t="shared" si="14"/>
        <v>14363</v>
      </c>
      <c r="F133" s="322"/>
      <c r="G133" s="322"/>
      <c r="H133" s="322">
        <f t="shared" si="15"/>
        <v>14363</v>
      </c>
      <c r="I133" s="322">
        <v>14829</v>
      </c>
      <c r="J133" s="494">
        <f t="shared" si="11"/>
        <v>0.0324444753881501</v>
      </c>
      <c r="K133" s="326"/>
      <c r="L133" s="316">
        <f t="shared" si="16"/>
        <v>7</v>
      </c>
      <c r="M133" s="478"/>
    </row>
    <row r="134" s="291" customFormat="1" ht="24.95" customHeight="1" spans="1:13">
      <c r="A134" s="310">
        <v>203</v>
      </c>
      <c r="B134" s="311" t="s">
        <v>154</v>
      </c>
      <c r="C134" s="487">
        <v>1413</v>
      </c>
      <c r="D134" s="313"/>
      <c r="E134" s="312">
        <f t="shared" si="14"/>
        <v>1413</v>
      </c>
      <c r="F134" s="313"/>
      <c r="G134" s="313"/>
      <c r="H134" s="312">
        <f t="shared" si="15"/>
        <v>1413</v>
      </c>
      <c r="I134" s="312">
        <f>I135+I137</f>
        <v>1326</v>
      </c>
      <c r="J134" s="488">
        <f t="shared" ref="J134:J197" si="18">I134/H134-1</f>
        <v>-0.0615711252653928</v>
      </c>
      <c r="K134" s="313"/>
      <c r="L134" s="316">
        <f t="shared" si="16"/>
        <v>3</v>
      </c>
      <c r="M134" s="478"/>
    </row>
    <row r="135" s="291" customFormat="1" ht="24.95" customHeight="1" spans="1:13">
      <c r="A135" s="310">
        <v>20306</v>
      </c>
      <c r="B135" s="317" t="s">
        <v>155</v>
      </c>
      <c r="C135" s="489">
        <v>86</v>
      </c>
      <c r="D135" s="490"/>
      <c r="E135" s="318">
        <f t="shared" si="14"/>
        <v>86</v>
      </c>
      <c r="F135" s="490"/>
      <c r="G135" s="490"/>
      <c r="H135" s="318">
        <f t="shared" si="15"/>
        <v>86</v>
      </c>
      <c r="I135" s="318">
        <f t="shared" si="17"/>
        <v>26</v>
      </c>
      <c r="J135" s="491">
        <f t="shared" si="18"/>
        <v>-0.697674418604651</v>
      </c>
      <c r="K135" s="330"/>
      <c r="L135" s="316">
        <f t="shared" si="16"/>
        <v>5</v>
      </c>
      <c r="M135" s="478"/>
    </row>
    <row r="136" s="291" customFormat="1" ht="60" customHeight="1" spans="1:13">
      <c r="A136" s="310">
        <v>2030603</v>
      </c>
      <c r="B136" s="321" t="s">
        <v>156</v>
      </c>
      <c r="C136" s="492">
        <v>86</v>
      </c>
      <c r="D136" s="322"/>
      <c r="E136" s="322">
        <f t="shared" si="14"/>
        <v>86</v>
      </c>
      <c r="F136" s="322"/>
      <c r="G136" s="322"/>
      <c r="H136" s="322">
        <f t="shared" si="15"/>
        <v>86</v>
      </c>
      <c r="I136" s="322">
        <v>26</v>
      </c>
      <c r="J136" s="494">
        <f t="shared" si="18"/>
        <v>-0.697674418604651</v>
      </c>
      <c r="K136" s="326" t="s">
        <v>157</v>
      </c>
      <c r="L136" s="316">
        <f t="shared" si="16"/>
        <v>7</v>
      </c>
      <c r="M136" s="478"/>
    </row>
    <row r="137" s="291" customFormat="1" ht="24.95" customHeight="1" spans="1:13">
      <c r="A137" s="310">
        <v>20399</v>
      </c>
      <c r="B137" s="317" t="s">
        <v>158</v>
      </c>
      <c r="C137" s="489">
        <v>1327</v>
      </c>
      <c r="D137" s="490"/>
      <c r="E137" s="318">
        <f t="shared" si="14"/>
        <v>1327</v>
      </c>
      <c r="F137" s="490"/>
      <c r="G137" s="490"/>
      <c r="H137" s="318">
        <f t="shared" si="15"/>
        <v>1327</v>
      </c>
      <c r="I137" s="318">
        <f t="shared" si="17"/>
        <v>1300</v>
      </c>
      <c r="J137" s="491">
        <f t="shared" si="18"/>
        <v>-0.0203466465712132</v>
      </c>
      <c r="K137" s="330"/>
      <c r="L137" s="316">
        <f t="shared" si="16"/>
        <v>5</v>
      </c>
      <c r="M137" s="478"/>
    </row>
    <row r="138" s="291" customFormat="1" ht="24.95" customHeight="1" spans="1:13">
      <c r="A138" s="310">
        <v>2039901</v>
      </c>
      <c r="B138" s="321" t="s">
        <v>159</v>
      </c>
      <c r="C138" s="492">
        <v>1327</v>
      </c>
      <c r="D138" s="322"/>
      <c r="E138" s="322">
        <f t="shared" si="14"/>
        <v>1327</v>
      </c>
      <c r="F138" s="322"/>
      <c r="G138" s="322"/>
      <c r="H138" s="322">
        <f t="shared" si="15"/>
        <v>1327</v>
      </c>
      <c r="I138" s="322">
        <v>1300</v>
      </c>
      <c r="J138" s="494">
        <f t="shared" si="18"/>
        <v>-0.0203466465712132</v>
      </c>
      <c r="K138" s="326"/>
      <c r="L138" s="316">
        <f t="shared" si="16"/>
        <v>7</v>
      </c>
      <c r="M138" s="478"/>
    </row>
    <row r="139" s="291" customFormat="1" ht="24.95" customHeight="1" spans="1:13">
      <c r="A139" s="310">
        <v>204</v>
      </c>
      <c r="B139" s="311" t="s">
        <v>160</v>
      </c>
      <c r="C139" s="487">
        <f>257886+755+14</f>
        <v>258655</v>
      </c>
      <c r="D139" s="313"/>
      <c r="E139" s="312">
        <f t="shared" si="14"/>
        <v>258655</v>
      </c>
      <c r="F139" s="313"/>
      <c r="G139" s="313"/>
      <c r="H139" s="312">
        <f t="shared" si="15"/>
        <v>258655</v>
      </c>
      <c r="I139" s="312">
        <f>I140+I142+I158+I163+I165+I175+I179</f>
        <v>276596</v>
      </c>
      <c r="J139" s="488">
        <f t="shared" si="18"/>
        <v>0.0693626645531693</v>
      </c>
      <c r="K139" s="313"/>
      <c r="L139" s="316">
        <f t="shared" si="16"/>
        <v>3</v>
      </c>
      <c r="M139" s="478"/>
    </row>
    <row r="140" s="291" customFormat="1" ht="24.95" customHeight="1" spans="1:13">
      <c r="A140" s="310">
        <v>20401</v>
      </c>
      <c r="B140" s="332" t="s">
        <v>161</v>
      </c>
      <c r="C140" s="489"/>
      <c r="D140" s="490"/>
      <c r="E140" s="318">
        <v>0</v>
      </c>
      <c r="F140" s="490"/>
      <c r="G140" s="490"/>
      <c r="H140" s="318"/>
      <c r="I140" s="318"/>
      <c r="J140" s="496">
        <v>0</v>
      </c>
      <c r="K140" s="330"/>
      <c r="L140" s="316">
        <f t="shared" si="16"/>
        <v>5</v>
      </c>
      <c r="M140" s="478"/>
    </row>
    <row r="141" s="291" customFormat="1" ht="24.95" customHeight="1" spans="1:13">
      <c r="A141" s="310">
        <v>2040103</v>
      </c>
      <c r="B141" s="327" t="s">
        <v>162</v>
      </c>
      <c r="C141" s="492"/>
      <c r="D141" s="322"/>
      <c r="E141" s="322">
        <v>0</v>
      </c>
      <c r="F141" s="322"/>
      <c r="G141" s="322"/>
      <c r="H141" s="322"/>
      <c r="I141" s="322"/>
      <c r="J141" s="495">
        <v>0</v>
      </c>
      <c r="K141" s="326"/>
      <c r="L141" s="316">
        <f t="shared" si="16"/>
        <v>7</v>
      </c>
      <c r="M141" s="478"/>
    </row>
    <row r="142" s="291" customFormat="1" ht="24.95" customHeight="1" spans="1:13">
      <c r="A142" s="310">
        <v>20402</v>
      </c>
      <c r="B142" s="317" t="s">
        <v>163</v>
      </c>
      <c r="C142" s="489">
        <f>238667+755+14</f>
        <v>239436</v>
      </c>
      <c r="D142" s="490"/>
      <c r="E142" s="318">
        <f t="shared" ref="E142:E144" si="19">C142+D142</f>
        <v>239436</v>
      </c>
      <c r="F142" s="490"/>
      <c r="G142" s="490"/>
      <c r="H142" s="318">
        <f t="shared" si="15"/>
        <v>239436</v>
      </c>
      <c r="I142" s="318">
        <f>SUM(I143:I157)</f>
        <v>256990</v>
      </c>
      <c r="J142" s="491">
        <f t="shared" si="18"/>
        <v>0.0733139544596468</v>
      </c>
      <c r="K142" s="330"/>
      <c r="L142" s="316">
        <f t="shared" si="16"/>
        <v>5</v>
      </c>
      <c r="M142" s="478"/>
    </row>
    <row r="143" s="291" customFormat="1" ht="24.95" customHeight="1" spans="1:13">
      <c r="A143" s="310">
        <v>2040201</v>
      </c>
      <c r="B143" s="321" t="s">
        <v>49</v>
      </c>
      <c r="C143" s="492">
        <v>104083</v>
      </c>
      <c r="D143" s="322"/>
      <c r="E143" s="322">
        <f t="shared" si="19"/>
        <v>104083</v>
      </c>
      <c r="F143" s="322"/>
      <c r="G143" s="322"/>
      <c r="H143" s="322">
        <f t="shared" si="15"/>
        <v>104083</v>
      </c>
      <c r="I143" s="322">
        <v>119167</v>
      </c>
      <c r="J143" s="494">
        <f t="shared" si="18"/>
        <v>0.144922801994562</v>
      </c>
      <c r="K143" s="326"/>
      <c r="L143" s="316">
        <f t="shared" si="16"/>
        <v>7</v>
      </c>
      <c r="M143" s="478"/>
    </row>
    <row r="144" s="291" customFormat="1" ht="90.95" customHeight="1" spans="1:13">
      <c r="A144" s="310">
        <v>2040202</v>
      </c>
      <c r="B144" s="321" t="s">
        <v>50</v>
      </c>
      <c r="C144" s="492">
        <v>7994</v>
      </c>
      <c r="D144" s="322"/>
      <c r="E144" s="322">
        <f t="shared" si="19"/>
        <v>7994</v>
      </c>
      <c r="F144" s="322"/>
      <c r="G144" s="322"/>
      <c r="H144" s="322">
        <f t="shared" si="15"/>
        <v>7994</v>
      </c>
      <c r="I144" s="322">
        <v>13596</v>
      </c>
      <c r="J144" s="494">
        <f t="shared" si="18"/>
        <v>0.700775581686265</v>
      </c>
      <c r="K144" s="326" t="s">
        <v>164</v>
      </c>
      <c r="L144" s="316">
        <f t="shared" si="16"/>
        <v>7</v>
      </c>
      <c r="M144" s="478"/>
    </row>
    <row r="145" s="291" customFormat="1" ht="24.95" customHeight="1" spans="1:13">
      <c r="A145" s="331">
        <v>2040204</v>
      </c>
      <c r="B145" s="327" t="s">
        <v>165</v>
      </c>
      <c r="C145" s="492"/>
      <c r="D145" s="322"/>
      <c r="E145" s="322">
        <v>0</v>
      </c>
      <c r="F145" s="322"/>
      <c r="G145" s="322"/>
      <c r="H145" s="322"/>
      <c r="I145" s="322"/>
      <c r="J145" s="495">
        <v>0</v>
      </c>
      <c r="K145" s="326"/>
      <c r="L145" s="316">
        <f t="shared" si="16"/>
        <v>7</v>
      </c>
      <c r="M145" s="478"/>
    </row>
    <row r="146" s="291" customFormat="1" ht="24.95" customHeight="1" spans="1:13">
      <c r="A146" s="331">
        <v>2040205</v>
      </c>
      <c r="B146" s="327" t="s">
        <v>166</v>
      </c>
      <c r="C146" s="492"/>
      <c r="D146" s="322"/>
      <c r="E146" s="322">
        <v>0</v>
      </c>
      <c r="F146" s="322"/>
      <c r="G146" s="322"/>
      <c r="H146" s="322"/>
      <c r="I146" s="322"/>
      <c r="J146" s="495">
        <v>0</v>
      </c>
      <c r="K146" s="326"/>
      <c r="L146" s="316">
        <f t="shared" si="16"/>
        <v>7</v>
      </c>
      <c r="M146" s="478"/>
    </row>
    <row r="147" s="291" customFormat="1" ht="24.95" customHeight="1" spans="1:13">
      <c r="A147" s="331">
        <v>2040206</v>
      </c>
      <c r="B147" s="327" t="s">
        <v>167</v>
      </c>
      <c r="C147" s="492"/>
      <c r="D147" s="322"/>
      <c r="E147" s="322">
        <v>0</v>
      </c>
      <c r="F147" s="322"/>
      <c r="G147" s="322"/>
      <c r="H147" s="322"/>
      <c r="I147" s="322"/>
      <c r="J147" s="495">
        <v>0</v>
      </c>
      <c r="K147" s="326"/>
      <c r="L147" s="316">
        <f t="shared" si="16"/>
        <v>7</v>
      </c>
      <c r="M147" s="478"/>
    </row>
    <row r="148" s="291" customFormat="1" ht="24.95" customHeight="1" spans="1:13">
      <c r="A148" s="331">
        <v>2040207</v>
      </c>
      <c r="B148" s="327" t="s">
        <v>168</v>
      </c>
      <c r="C148" s="492"/>
      <c r="D148" s="322"/>
      <c r="E148" s="322">
        <v>0</v>
      </c>
      <c r="F148" s="322"/>
      <c r="G148" s="322"/>
      <c r="H148" s="322"/>
      <c r="I148" s="322"/>
      <c r="J148" s="495">
        <v>0</v>
      </c>
      <c r="K148" s="326"/>
      <c r="L148" s="316">
        <f t="shared" si="16"/>
        <v>7</v>
      </c>
      <c r="M148" s="478"/>
    </row>
    <row r="149" s="291" customFormat="1" ht="24.95" customHeight="1" spans="1:13">
      <c r="A149" s="331">
        <v>2040208</v>
      </c>
      <c r="B149" s="327" t="s">
        <v>169</v>
      </c>
      <c r="C149" s="492"/>
      <c r="D149" s="322"/>
      <c r="E149" s="322">
        <v>0</v>
      </c>
      <c r="F149" s="322"/>
      <c r="G149" s="322"/>
      <c r="H149" s="322"/>
      <c r="I149" s="322"/>
      <c r="J149" s="495">
        <v>0</v>
      </c>
      <c r="K149" s="326"/>
      <c r="L149" s="316">
        <f t="shared" si="16"/>
        <v>7</v>
      </c>
      <c r="M149" s="478"/>
    </row>
    <row r="150" s="291" customFormat="1" ht="24.95" customHeight="1" spans="1:13">
      <c r="A150" s="331">
        <v>2040211</v>
      </c>
      <c r="B150" s="327" t="s">
        <v>170</v>
      </c>
      <c r="C150" s="492"/>
      <c r="D150" s="322"/>
      <c r="E150" s="322">
        <v>0</v>
      </c>
      <c r="F150" s="322"/>
      <c r="G150" s="322"/>
      <c r="H150" s="322"/>
      <c r="I150" s="322"/>
      <c r="J150" s="495">
        <v>0</v>
      </c>
      <c r="K150" s="326"/>
      <c r="L150" s="316">
        <f t="shared" si="16"/>
        <v>7</v>
      </c>
      <c r="M150" s="478"/>
    </row>
    <row r="151" s="291" customFormat="1" ht="24.95" customHeight="1" spans="1:13">
      <c r="A151" s="331">
        <v>2040212</v>
      </c>
      <c r="B151" s="327" t="s">
        <v>171</v>
      </c>
      <c r="C151" s="492"/>
      <c r="D151" s="322"/>
      <c r="E151" s="322">
        <v>0</v>
      </c>
      <c r="F151" s="322"/>
      <c r="G151" s="322"/>
      <c r="H151" s="322"/>
      <c r="I151" s="322"/>
      <c r="J151" s="495">
        <v>0</v>
      </c>
      <c r="K151" s="326"/>
      <c r="L151" s="316">
        <f t="shared" si="16"/>
        <v>7</v>
      </c>
      <c r="M151" s="478"/>
    </row>
    <row r="152" s="291" customFormat="1" ht="24.95" customHeight="1" spans="1:13">
      <c r="A152" s="331">
        <v>2040214</v>
      </c>
      <c r="B152" s="327" t="s">
        <v>172</v>
      </c>
      <c r="C152" s="492"/>
      <c r="D152" s="322"/>
      <c r="E152" s="322">
        <v>0</v>
      </c>
      <c r="F152" s="322"/>
      <c r="G152" s="322"/>
      <c r="H152" s="322"/>
      <c r="I152" s="322"/>
      <c r="J152" s="495">
        <v>0</v>
      </c>
      <c r="K152" s="326"/>
      <c r="L152" s="316">
        <f t="shared" si="16"/>
        <v>7</v>
      </c>
      <c r="M152" s="478"/>
    </row>
    <row r="153" s="291" customFormat="1" ht="24.95" customHeight="1" spans="1:13">
      <c r="A153" s="331">
        <v>2040215</v>
      </c>
      <c r="B153" s="327" t="s">
        <v>173</v>
      </c>
      <c r="C153" s="492"/>
      <c r="D153" s="322"/>
      <c r="E153" s="322">
        <v>0</v>
      </c>
      <c r="F153" s="322"/>
      <c r="G153" s="322"/>
      <c r="H153" s="322"/>
      <c r="I153" s="322"/>
      <c r="J153" s="495">
        <v>0</v>
      </c>
      <c r="K153" s="326"/>
      <c r="L153" s="316">
        <f t="shared" si="16"/>
        <v>7</v>
      </c>
      <c r="M153" s="478"/>
    </row>
    <row r="154" s="291" customFormat="1" ht="24.95" customHeight="1" spans="1:13">
      <c r="A154" s="331">
        <v>2040217</v>
      </c>
      <c r="B154" s="327" t="s">
        <v>174</v>
      </c>
      <c r="C154" s="492"/>
      <c r="D154" s="322"/>
      <c r="E154" s="322">
        <v>0</v>
      </c>
      <c r="F154" s="322"/>
      <c r="G154" s="322"/>
      <c r="H154" s="322"/>
      <c r="I154" s="322"/>
      <c r="J154" s="495">
        <v>0</v>
      </c>
      <c r="K154" s="326"/>
      <c r="L154" s="316">
        <f t="shared" si="16"/>
        <v>7</v>
      </c>
      <c r="M154" s="478"/>
    </row>
    <row r="155" s="291" customFormat="1" ht="66.95" customHeight="1" spans="1:13">
      <c r="A155" s="310">
        <v>2040219</v>
      </c>
      <c r="B155" s="321" t="s">
        <v>85</v>
      </c>
      <c r="C155" s="492">
        <v>25095</v>
      </c>
      <c r="D155" s="322"/>
      <c r="E155" s="322">
        <f t="shared" ref="E155:E161" si="20">C155+D155</f>
        <v>25095</v>
      </c>
      <c r="F155" s="322"/>
      <c r="G155" s="322"/>
      <c r="H155" s="322">
        <f t="shared" si="15"/>
        <v>25095</v>
      </c>
      <c r="I155" s="322">
        <v>19910</v>
      </c>
      <c r="J155" s="494">
        <f t="shared" si="18"/>
        <v>-0.206614863518629</v>
      </c>
      <c r="K155" s="326" t="s">
        <v>175</v>
      </c>
      <c r="L155" s="316">
        <f t="shared" si="16"/>
        <v>7</v>
      </c>
      <c r="M155" s="478"/>
    </row>
    <row r="156" s="291" customFormat="1" ht="51" customHeight="1" spans="1:13">
      <c r="A156" s="310">
        <v>2040220</v>
      </c>
      <c r="B156" s="321" t="s">
        <v>176</v>
      </c>
      <c r="C156" s="492">
        <f>97168+860+14</f>
        <v>98042</v>
      </c>
      <c r="D156" s="322"/>
      <c r="E156" s="322">
        <f t="shared" si="20"/>
        <v>98042</v>
      </c>
      <c r="F156" s="322"/>
      <c r="G156" s="322"/>
      <c r="H156" s="322">
        <f t="shared" si="15"/>
        <v>98042</v>
      </c>
      <c r="I156" s="322">
        <f>94176-1</f>
        <v>94175</v>
      </c>
      <c r="J156" s="494">
        <f t="shared" si="18"/>
        <v>-0.0394422798392525</v>
      </c>
      <c r="K156" s="326" t="s">
        <v>177</v>
      </c>
      <c r="L156" s="316">
        <f t="shared" si="16"/>
        <v>7</v>
      </c>
      <c r="M156" s="478"/>
    </row>
    <row r="157" s="291" customFormat="1" ht="104.1" customHeight="1" spans="1:13">
      <c r="A157" s="310">
        <v>2040299</v>
      </c>
      <c r="B157" s="321" t="s">
        <v>178</v>
      </c>
      <c r="C157" s="492">
        <f>4327-105</f>
        <v>4222</v>
      </c>
      <c r="D157" s="322"/>
      <c r="E157" s="322">
        <f t="shared" si="20"/>
        <v>4222</v>
      </c>
      <c r="F157" s="322"/>
      <c r="G157" s="322"/>
      <c r="H157" s="322">
        <f t="shared" si="15"/>
        <v>4222</v>
      </c>
      <c r="I157" s="322">
        <v>10142</v>
      </c>
      <c r="J157" s="494">
        <f t="shared" si="18"/>
        <v>1.4021790620559</v>
      </c>
      <c r="K157" s="326" t="s">
        <v>179</v>
      </c>
      <c r="L157" s="316">
        <f t="shared" si="16"/>
        <v>7</v>
      </c>
      <c r="M157" s="478"/>
    </row>
    <row r="158" s="291" customFormat="1" ht="24.95" customHeight="1" spans="1:13">
      <c r="A158" s="310">
        <v>20403</v>
      </c>
      <c r="B158" s="317" t="s">
        <v>180</v>
      </c>
      <c r="C158" s="489">
        <v>1310</v>
      </c>
      <c r="D158" s="490"/>
      <c r="E158" s="318">
        <f t="shared" si="20"/>
        <v>1310</v>
      </c>
      <c r="F158" s="490"/>
      <c r="G158" s="490"/>
      <c r="H158" s="318">
        <f t="shared" si="15"/>
        <v>1310</v>
      </c>
      <c r="I158" s="318">
        <f>SUM(I159:I162)</f>
        <v>1651</v>
      </c>
      <c r="J158" s="491">
        <f t="shared" si="18"/>
        <v>0.26030534351145</v>
      </c>
      <c r="K158" s="330"/>
      <c r="L158" s="316">
        <f t="shared" si="16"/>
        <v>5</v>
      </c>
      <c r="M158" s="478"/>
    </row>
    <row r="159" s="291" customFormat="1" ht="24.95" customHeight="1" spans="1:13">
      <c r="A159" s="310">
        <v>2040301</v>
      </c>
      <c r="B159" s="321" t="s">
        <v>49</v>
      </c>
      <c r="C159" s="492">
        <v>698</v>
      </c>
      <c r="D159" s="322"/>
      <c r="E159" s="322">
        <f t="shared" si="20"/>
        <v>698</v>
      </c>
      <c r="F159" s="322"/>
      <c r="G159" s="322"/>
      <c r="H159" s="322">
        <f t="shared" si="15"/>
        <v>698</v>
      </c>
      <c r="I159" s="322">
        <v>1035</v>
      </c>
      <c r="J159" s="494">
        <f t="shared" si="18"/>
        <v>0.482808022922636</v>
      </c>
      <c r="K159" s="326"/>
      <c r="L159" s="316">
        <f t="shared" si="16"/>
        <v>7</v>
      </c>
      <c r="M159" s="478"/>
    </row>
    <row r="160" s="291" customFormat="1" ht="24.95" customHeight="1" spans="1:13">
      <c r="A160" s="310">
        <v>2040302</v>
      </c>
      <c r="B160" s="321" t="s">
        <v>50</v>
      </c>
      <c r="C160" s="492">
        <v>54</v>
      </c>
      <c r="D160" s="322"/>
      <c r="E160" s="322">
        <f t="shared" si="20"/>
        <v>54</v>
      </c>
      <c r="F160" s="322"/>
      <c r="G160" s="322"/>
      <c r="H160" s="322">
        <f t="shared" si="15"/>
        <v>54</v>
      </c>
      <c r="I160" s="322">
        <v>49</v>
      </c>
      <c r="J160" s="494">
        <f t="shared" si="18"/>
        <v>-0.0925925925925926</v>
      </c>
      <c r="K160" s="326"/>
      <c r="L160" s="316">
        <f t="shared" si="16"/>
        <v>7</v>
      </c>
      <c r="M160" s="478"/>
    </row>
    <row r="161" s="291" customFormat="1" ht="24.95" customHeight="1" spans="1:13">
      <c r="A161" s="310">
        <v>2040304</v>
      </c>
      <c r="B161" s="321" t="s">
        <v>181</v>
      </c>
      <c r="C161" s="492">
        <v>558</v>
      </c>
      <c r="D161" s="322"/>
      <c r="E161" s="322">
        <f t="shared" si="20"/>
        <v>558</v>
      </c>
      <c r="F161" s="322"/>
      <c r="G161" s="322"/>
      <c r="H161" s="322">
        <f t="shared" si="15"/>
        <v>558</v>
      </c>
      <c r="I161" s="322">
        <v>558</v>
      </c>
      <c r="J161" s="494">
        <f t="shared" si="18"/>
        <v>0</v>
      </c>
      <c r="K161" s="326"/>
      <c r="L161" s="316">
        <f t="shared" si="16"/>
        <v>7</v>
      </c>
      <c r="M161" s="478"/>
    </row>
    <row r="162" s="291" customFormat="1" ht="24.95" customHeight="1" spans="1:13">
      <c r="A162" s="310">
        <v>2040399</v>
      </c>
      <c r="B162" s="321" t="s">
        <v>182</v>
      </c>
      <c r="C162" s="492"/>
      <c r="D162" s="322"/>
      <c r="E162" s="322"/>
      <c r="F162" s="322"/>
      <c r="G162" s="322"/>
      <c r="H162" s="322"/>
      <c r="I162" s="322">
        <v>9</v>
      </c>
      <c r="J162" s="495" t="s">
        <v>20</v>
      </c>
      <c r="K162" s="326"/>
      <c r="L162" s="316"/>
      <c r="M162" s="478"/>
    </row>
    <row r="163" s="291" customFormat="1" ht="24.95" customHeight="1" spans="1:13">
      <c r="A163" s="331">
        <v>20405</v>
      </c>
      <c r="B163" s="332" t="s">
        <v>183</v>
      </c>
      <c r="C163" s="489"/>
      <c r="D163" s="490"/>
      <c r="E163" s="318">
        <v>0</v>
      </c>
      <c r="F163" s="490"/>
      <c r="G163" s="490"/>
      <c r="H163" s="318"/>
      <c r="I163" s="318"/>
      <c r="J163" s="496">
        <v>0</v>
      </c>
      <c r="K163" s="330"/>
      <c r="L163" s="316">
        <f t="shared" ref="L163:L172" si="21">LEN(A163)</f>
        <v>5</v>
      </c>
      <c r="M163" s="478"/>
    </row>
    <row r="164" s="291" customFormat="1" ht="24.95" customHeight="1" spans="1:13">
      <c r="A164" s="331">
        <v>2040506</v>
      </c>
      <c r="B164" s="327" t="s">
        <v>184</v>
      </c>
      <c r="C164" s="492"/>
      <c r="D164" s="322"/>
      <c r="E164" s="322">
        <v>0</v>
      </c>
      <c r="F164" s="322"/>
      <c r="G164" s="322"/>
      <c r="H164" s="322"/>
      <c r="I164" s="322"/>
      <c r="J164" s="495">
        <v>0</v>
      </c>
      <c r="K164" s="326"/>
      <c r="L164" s="316">
        <f t="shared" si="21"/>
        <v>7</v>
      </c>
      <c r="M164" s="478"/>
    </row>
    <row r="165" s="291" customFormat="1" ht="24.95" customHeight="1" spans="1:13">
      <c r="A165" s="310">
        <v>20406</v>
      </c>
      <c r="B165" s="317" t="s">
        <v>185</v>
      </c>
      <c r="C165" s="489">
        <v>6459</v>
      </c>
      <c r="D165" s="490"/>
      <c r="E165" s="318">
        <f t="shared" ref="E165:E172" si="22">C165+D165</f>
        <v>6459</v>
      </c>
      <c r="F165" s="490"/>
      <c r="G165" s="490"/>
      <c r="H165" s="318">
        <f t="shared" ref="H165:H172" si="23">E165-F165-G165</f>
        <v>6459</v>
      </c>
      <c r="I165" s="318">
        <f>SUM(I166:I174)</f>
        <v>6690</v>
      </c>
      <c r="J165" s="491">
        <f t="shared" si="18"/>
        <v>0.0357640501625638</v>
      </c>
      <c r="K165" s="330"/>
      <c r="L165" s="316">
        <f t="shared" si="21"/>
        <v>5</v>
      </c>
      <c r="M165" s="478"/>
    </row>
    <row r="166" s="291" customFormat="1" ht="24.95" customHeight="1" spans="1:13">
      <c r="A166" s="310">
        <v>2040601</v>
      </c>
      <c r="B166" s="321" t="s">
        <v>49</v>
      </c>
      <c r="C166" s="492">
        <v>1450</v>
      </c>
      <c r="D166" s="322"/>
      <c r="E166" s="322">
        <f t="shared" si="22"/>
        <v>1450</v>
      </c>
      <c r="F166" s="322"/>
      <c r="G166" s="322"/>
      <c r="H166" s="322">
        <f t="shared" si="23"/>
        <v>1450</v>
      </c>
      <c r="I166" s="322">
        <v>1513</v>
      </c>
      <c r="J166" s="494">
        <f t="shared" si="18"/>
        <v>0.0434482758620689</v>
      </c>
      <c r="K166" s="326"/>
      <c r="L166" s="316">
        <f t="shared" si="21"/>
        <v>7</v>
      </c>
      <c r="M166" s="478"/>
    </row>
    <row r="167" s="291" customFormat="1" ht="24.95" customHeight="1" spans="1:13">
      <c r="A167" s="310">
        <v>2040602</v>
      </c>
      <c r="B167" s="321" t="s">
        <v>50</v>
      </c>
      <c r="C167" s="492">
        <v>161</v>
      </c>
      <c r="D167" s="322"/>
      <c r="E167" s="322">
        <f t="shared" si="22"/>
        <v>161</v>
      </c>
      <c r="F167" s="322"/>
      <c r="G167" s="322"/>
      <c r="H167" s="322">
        <f t="shared" si="23"/>
        <v>161</v>
      </c>
      <c r="I167" s="322">
        <v>164</v>
      </c>
      <c r="J167" s="494">
        <f t="shared" si="18"/>
        <v>0.0186335403726707</v>
      </c>
      <c r="K167" s="326"/>
      <c r="L167" s="316">
        <f t="shared" si="21"/>
        <v>7</v>
      </c>
      <c r="M167" s="478"/>
    </row>
    <row r="168" s="291" customFormat="1" ht="24.95" customHeight="1" spans="1:13">
      <c r="A168" s="310">
        <v>2040604</v>
      </c>
      <c r="B168" s="321" t="s">
        <v>186</v>
      </c>
      <c r="C168" s="492">
        <v>4019</v>
      </c>
      <c r="D168" s="322"/>
      <c r="E168" s="322">
        <f t="shared" si="22"/>
        <v>4019</v>
      </c>
      <c r="F168" s="322"/>
      <c r="G168" s="322"/>
      <c r="H168" s="322">
        <f t="shared" si="23"/>
        <v>4019</v>
      </c>
      <c r="I168" s="322">
        <v>3908</v>
      </c>
      <c r="J168" s="494">
        <f t="shared" si="18"/>
        <v>-0.0276188106494153</v>
      </c>
      <c r="K168" s="326"/>
      <c r="L168" s="316">
        <f t="shared" si="21"/>
        <v>7</v>
      </c>
      <c r="M168" s="478"/>
    </row>
    <row r="169" s="291" customFormat="1" ht="24.95" customHeight="1" spans="1:13">
      <c r="A169" s="310">
        <v>2040605</v>
      </c>
      <c r="B169" s="321" t="s">
        <v>187</v>
      </c>
      <c r="C169" s="492">
        <v>150</v>
      </c>
      <c r="D169" s="322"/>
      <c r="E169" s="322">
        <f t="shared" si="22"/>
        <v>150</v>
      </c>
      <c r="F169" s="322"/>
      <c r="G169" s="322"/>
      <c r="H169" s="322">
        <f t="shared" si="23"/>
        <v>150</v>
      </c>
      <c r="I169" s="322">
        <v>113</v>
      </c>
      <c r="J169" s="494">
        <f t="shared" si="18"/>
        <v>-0.246666666666667</v>
      </c>
      <c r="K169" s="326"/>
      <c r="L169" s="316">
        <f t="shared" si="21"/>
        <v>7</v>
      </c>
      <c r="M169" s="478"/>
    </row>
    <row r="170" s="291" customFormat="1" ht="47.1" customHeight="1" spans="1:13">
      <c r="A170" s="310">
        <v>2040606</v>
      </c>
      <c r="B170" s="321" t="s">
        <v>188</v>
      </c>
      <c r="C170" s="492">
        <v>34</v>
      </c>
      <c r="D170" s="322"/>
      <c r="E170" s="322">
        <f t="shared" si="22"/>
        <v>34</v>
      </c>
      <c r="F170" s="322"/>
      <c r="G170" s="322"/>
      <c r="H170" s="322">
        <f t="shared" si="23"/>
        <v>34</v>
      </c>
      <c r="I170" s="322">
        <v>300</v>
      </c>
      <c r="J170" s="494">
        <f t="shared" si="18"/>
        <v>7.82352941176471</v>
      </c>
      <c r="K170" s="326" t="s">
        <v>189</v>
      </c>
      <c r="L170" s="316">
        <f t="shared" si="21"/>
        <v>7</v>
      </c>
      <c r="M170" s="478"/>
    </row>
    <row r="171" s="291" customFormat="1" ht="24.95" customHeight="1" spans="1:13">
      <c r="A171" s="310">
        <v>2040607</v>
      </c>
      <c r="B171" s="321" t="s">
        <v>190</v>
      </c>
      <c r="C171" s="492">
        <v>375</v>
      </c>
      <c r="D171" s="322"/>
      <c r="E171" s="322">
        <f t="shared" si="22"/>
        <v>375</v>
      </c>
      <c r="F171" s="322"/>
      <c r="G171" s="322"/>
      <c r="H171" s="322">
        <f t="shared" si="23"/>
        <v>375</v>
      </c>
      <c r="I171" s="322">
        <v>374</v>
      </c>
      <c r="J171" s="494">
        <f t="shared" si="18"/>
        <v>-0.00266666666666671</v>
      </c>
      <c r="K171" s="326"/>
      <c r="L171" s="316">
        <f t="shared" si="21"/>
        <v>7</v>
      </c>
      <c r="M171" s="478"/>
    </row>
    <row r="172" s="291" customFormat="1" ht="24.95" customHeight="1" spans="1:13">
      <c r="A172" s="310">
        <v>2040610</v>
      </c>
      <c r="B172" s="321" t="s">
        <v>191</v>
      </c>
      <c r="C172" s="492">
        <v>270</v>
      </c>
      <c r="D172" s="322"/>
      <c r="E172" s="322">
        <f t="shared" si="22"/>
        <v>270</v>
      </c>
      <c r="F172" s="322"/>
      <c r="G172" s="322"/>
      <c r="H172" s="322">
        <f t="shared" si="23"/>
        <v>270</v>
      </c>
      <c r="I172" s="322">
        <v>255</v>
      </c>
      <c r="J172" s="494">
        <f t="shared" si="18"/>
        <v>-0.0555555555555556</v>
      </c>
      <c r="K172" s="326"/>
      <c r="L172" s="316">
        <f t="shared" si="21"/>
        <v>7</v>
      </c>
      <c r="M172" s="478"/>
    </row>
    <row r="173" s="291" customFormat="1" ht="24.95" customHeight="1" spans="1:13">
      <c r="A173" s="310">
        <v>2040612</v>
      </c>
      <c r="B173" s="321" t="s">
        <v>192</v>
      </c>
      <c r="C173" s="492"/>
      <c r="D173" s="322"/>
      <c r="E173" s="322">
        <v>0</v>
      </c>
      <c r="F173" s="322"/>
      <c r="G173" s="322"/>
      <c r="H173" s="322">
        <v>0</v>
      </c>
      <c r="I173" s="322">
        <v>63</v>
      </c>
      <c r="J173" s="495">
        <v>0</v>
      </c>
      <c r="K173" s="326"/>
      <c r="L173" s="316"/>
      <c r="M173" s="478"/>
    </row>
    <row r="174" s="291" customFormat="1" ht="24.95" customHeight="1" spans="1:13">
      <c r="A174" s="310">
        <v>2040650</v>
      </c>
      <c r="B174" s="321" t="s">
        <v>65</v>
      </c>
      <c r="C174" s="492">
        <v>0</v>
      </c>
      <c r="D174" s="322"/>
      <c r="E174" s="322">
        <f t="shared" ref="E174:E180" si="24">C174+D174</f>
        <v>0</v>
      </c>
      <c r="F174" s="322"/>
      <c r="G174" s="322"/>
      <c r="H174" s="322"/>
      <c r="I174" s="322"/>
      <c r="J174" s="495">
        <v>0</v>
      </c>
      <c r="K174" s="326"/>
      <c r="L174" s="316">
        <f t="shared" ref="L174:L202" si="25">LEN(A174)</f>
        <v>7</v>
      </c>
      <c r="M174" s="478"/>
    </row>
    <row r="175" s="291" customFormat="1" ht="24.95" customHeight="1" spans="1:13">
      <c r="A175" s="310">
        <v>20408</v>
      </c>
      <c r="B175" s="317" t="s">
        <v>193</v>
      </c>
      <c r="C175" s="489">
        <v>1017</v>
      </c>
      <c r="D175" s="490"/>
      <c r="E175" s="318">
        <f t="shared" si="24"/>
        <v>1017</v>
      </c>
      <c r="F175" s="490"/>
      <c r="G175" s="490"/>
      <c r="H175" s="318">
        <f t="shared" ref="H175:H202" si="26">E175-F175-G175</f>
        <v>1017</v>
      </c>
      <c r="I175" s="318">
        <f>SUM(I176:I178)</f>
        <v>942</v>
      </c>
      <c r="J175" s="491">
        <f t="shared" si="18"/>
        <v>-0.0737463126843658</v>
      </c>
      <c r="K175" s="330"/>
      <c r="L175" s="316">
        <f t="shared" si="25"/>
        <v>5</v>
      </c>
      <c r="M175" s="478"/>
    </row>
    <row r="176" s="291" customFormat="1" ht="24.95" customHeight="1" spans="1:13">
      <c r="A176" s="310">
        <v>2040801</v>
      </c>
      <c r="B176" s="321" t="s">
        <v>49</v>
      </c>
      <c r="C176" s="492">
        <v>225</v>
      </c>
      <c r="D176" s="322"/>
      <c r="E176" s="322">
        <f t="shared" si="24"/>
        <v>225</v>
      </c>
      <c r="F176" s="322"/>
      <c r="G176" s="322"/>
      <c r="H176" s="322">
        <f t="shared" si="26"/>
        <v>225</v>
      </c>
      <c r="I176" s="322">
        <v>225</v>
      </c>
      <c r="J176" s="494">
        <f t="shared" si="18"/>
        <v>0</v>
      </c>
      <c r="K176" s="326"/>
      <c r="L176" s="316">
        <f t="shared" si="25"/>
        <v>7</v>
      </c>
      <c r="M176" s="478"/>
    </row>
    <row r="177" s="291" customFormat="1" ht="42" customHeight="1" spans="1:13">
      <c r="A177" s="310">
        <v>2040802</v>
      </c>
      <c r="B177" s="321" t="s">
        <v>50</v>
      </c>
      <c r="C177" s="492">
        <v>63</v>
      </c>
      <c r="D177" s="322"/>
      <c r="E177" s="322">
        <f t="shared" si="24"/>
        <v>63</v>
      </c>
      <c r="F177" s="322"/>
      <c r="G177" s="322"/>
      <c r="H177" s="322">
        <f t="shared" si="26"/>
        <v>63</v>
      </c>
      <c r="I177" s="322">
        <v>172</v>
      </c>
      <c r="J177" s="494">
        <f t="shared" si="18"/>
        <v>1.73015873015873</v>
      </c>
      <c r="K177" s="326" t="s">
        <v>194</v>
      </c>
      <c r="L177" s="316">
        <f t="shared" si="25"/>
        <v>7</v>
      </c>
      <c r="M177" s="478"/>
    </row>
    <row r="178" s="291" customFormat="1" ht="24.95" customHeight="1" spans="1:13">
      <c r="A178" s="310">
        <v>2040804</v>
      </c>
      <c r="B178" s="321" t="s">
        <v>195</v>
      </c>
      <c r="C178" s="492">
        <v>729</v>
      </c>
      <c r="D178" s="322"/>
      <c r="E178" s="322">
        <f t="shared" si="24"/>
        <v>729</v>
      </c>
      <c r="F178" s="322"/>
      <c r="G178" s="322"/>
      <c r="H178" s="322">
        <f t="shared" si="26"/>
        <v>729</v>
      </c>
      <c r="I178" s="322">
        <v>545</v>
      </c>
      <c r="J178" s="494">
        <f t="shared" si="18"/>
        <v>-0.252400548696845</v>
      </c>
      <c r="K178" s="326"/>
      <c r="L178" s="316">
        <f t="shared" si="25"/>
        <v>7</v>
      </c>
      <c r="M178" s="478"/>
    </row>
    <row r="179" s="291" customFormat="1" ht="24.95" customHeight="1" spans="1:13">
      <c r="A179" s="310">
        <v>20499</v>
      </c>
      <c r="B179" s="317" t="s">
        <v>196</v>
      </c>
      <c r="C179" s="489">
        <v>10433</v>
      </c>
      <c r="D179" s="490"/>
      <c r="E179" s="318">
        <f t="shared" si="24"/>
        <v>10433</v>
      </c>
      <c r="F179" s="490"/>
      <c r="G179" s="490"/>
      <c r="H179" s="318">
        <f t="shared" si="26"/>
        <v>10433</v>
      </c>
      <c r="I179" s="318">
        <f>I180</f>
        <v>10323</v>
      </c>
      <c r="J179" s="491">
        <f t="shared" si="18"/>
        <v>-0.0105434678424231</v>
      </c>
      <c r="K179" s="330"/>
      <c r="L179" s="316">
        <f t="shared" si="25"/>
        <v>5</v>
      </c>
      <c r="M179" s="478"/>
    </row>
    <row r="180" s="291" customFormat="1" ht="24.95" customHeight="1" spans="1:13">
      <c r="A180" s="310">
        <v>2049901</v>
      </c>
      <c r="B180" s="321" t="s">
        <v>197</v>
      </c>
      <c r="C180" s="492">
        <v>10433</v>
      </c>
      <c r="D180" s="322"/>
      <c r="E180" s="322">
        <f t="shared" si="24"/>
        <v>10433</v>
      </c>
      <c r="F180" s="322"/>
      <c r="G180" s="322"/>
      <c r="H180" s="322">
        <f t="shared" si="26"/>
        <v>10433</v>
      </c>
      <c r="I180" s="322">
        <v>10323</v>
      </c>
      <c r="J180" s="494">
        <f t="shared" si="18"/>
        <v>-0.0105434678424231</v>
      </c>
      <c r="K180" s="326"/>
      <c r="L180" s="316">
        <f t="shared" si="25"/>
        <v>7</v>
      </c>
      <c r="M180" s="478"/>
    </row>
    <row r="181" s="291" customFormat="1" ht="24.95" customHeight="1" spans="1:13">
      <c r="A181" s="310">
        <v>2049902</v>
      </c>
      <c r="B181" s="327" t="s">
        <v>198</v>
      </c>
      <c r="C181" s="492"/>
      <c r="D181" s="322"/>
      <c r="E181" s="322">
        <v>0</v>
      </c>
      <c r="F181" s="322"/>
      <c r="G181" s="322"/>
      <c r="H181" s="322"/>
      <c r="I181" s="322"/>
      <c r="J181" s="495">
        <v>0</v>
      </c>
      <c r="K181" s="326"/>
      <c r="L181" s="316">
        <f t="shared" si="25"/>
        <v>7</v>
      </c>
      <c r="M181" s="478"/>
    </row>
    <row r="182" s="291" customFormat="1" ht="24.95" customHeight="1" spans="1:13">
      <c r="A182" s="310">
        <v>205</v>
      </c>
      <c r="B182" s="311" t="s">
        <v>199</v>
      </c>
      <c r="C182" s="487">
        <v>738014</v>
      </c>
      <c r="D182" s="313"/>
      <c r="E182" s="312">
        <f t="shared" ref="E182:E191" si="27">C182+D182</f>
        <v>738014</v>
      </c>
      <c r="F182" s="313"/>
      <c r="G182" s="313"/>
      <c r="H182" s="312">
        <f t="shared" si="26"/>
        <v>738014</v>
      </c>
      <c r="I182" s="312">
        <f>I183+I187+I194+I197+I199+I201+I204+I208+I210</f>
        <v>936606</v>
      </c>
      <c r="J182" s="488">
        <f t="shared" si="18"/>
        <v>0.269089746264976</v>
      </c>
      <c r="K182" s="497"/>
      <c r="L182" s="316">
        <f t="shared" si="25"/>
        <v>3</v>
      </c>
      <c r="M182" s="478"/>
    </row>
    <row r="183" s="291" customFormat="1" ht="24.95" customHeight="1" spans="1:13">
      <c r="A183" s="310">
        <v>20501</v>
      </c>
      <c r="B183" s="317" t="s">
        <v>200</v>
      </c>
      <c r="C183" s="489">
        <v>22952</v>
      </c>
      <c r="D183" s="490"/>
      <c r="E183" s="318">
        <f t="shared" si="27"/>
        <v>22952</v>
      </c>
      <c r="F183" s="490"/>
      <c r="G183" s="490"/>
      <c r="H183" s="318">
        <f t="shared" si="26"/>
        <v>22952</v>
      </c>
      <c r="I183" s="318">
        <f>SUM(I184:I186)</f>
        <v>18591</v>
      </c>
      <c r="J183" s="491">
        <f t="shared" si="18"/>
        <v>-0.190005228302544</v>
      </c>
      <c r="K183" s="330"/>
      <c r="L183" s="316">
        <f t="shared" si="25"/>
        <v>5</v>
      </c>
      <c r="M183" s="478"/>
    </row>
    <row r="184" s="291" customFormat="1" ht="24.95" customHeight="1" spans="1:13">
      <c r="A184" s="310">
        <v>2050101</v>
      </c>
      <c r="B184" s="321" t="s">
        <v>49</v>
      </c>
      <c r="C184" s="492">
        <v>6648</v>
      </c>
      <c r="D184" s="322"/>
      <c r="E184" s="322">
        <f t="shared" si="27"/>
        <v>6648</v>
      </c>
      <c r="F184" s="322"/>
      <c r="G184" s="322"/>
      <c r="H184" s="322">
        <f t="shared" si="26"/>
        <v>6648</v>
      </c>
      <c r="I184" s="322">
        <v>7587</v>
      </c>
      <c r="J184" s="494">
        <f t="shared" si="18"/>
        <v>0.141245487364621</v>
      </c>
      <c r="K184" s="326" t="s">
        <v>201</v>
      </c>
      <c r="L184" s="316">
        <f t="shared" si="25"/>
        <v>7</v>
      </c>
      <c r="M184" s="478"/>
    </row>
    <row r="185" s="291" customFormat="1" ht="24.95" customHeight="1" spans="1:13">
      <c r="A185" s="310">
        <v>2050102</v>
      </c>
      <c r="B185" s="321" t="s">
        <v>50</v>
      </c>
      <c r="C185" s="492">
        <v>1372</v>
      </c>
      <c r="D185" s="322"/>
      <c r="E185" s="322">
        <f t="shared" si="27"/>
        <v>1372</v>
      </c>
      <c r="F185" s="322"/>
      <c r="G185" s="322"/>
      <c r="H185" s="322">
        <f t="shared" si="26"/>
        <v>1372</v>
      </c>
      <c r="I185" s="322">
        <v>1019</v>
      </c>
      <c r="J185" s="494">
        <f t="shared" si="18"/>
        <v>-0.257288629737609</v>
      </c>
      <c r="K185" s="326"/>
      <c r="L185" s="316">
        <f t="shared" si="25"/>
        <v>7</v>
      </c>
      <c r="M185" s="478"/>
    </row>
    <row r="186" s="291" customFormat="1" ht="59.1" customHeight="1" spans="1:13">
      <c r="A186" s="310">
        <v>2050199</v>
      </c>
      <c r="B186" s="321" t="s">
        <v>202</v>
      </c>
      <c r="C186" s="492">
        <v>14932</v>
      </c>
      <c r="D186" s="322"/>
      <c r="E186" s="322">
        <f t="shared" si="27"/>
        <v>14932</v>
      </c>
      <c r="F186" s="322"/>
      <c r="G186" s="322"/>
      <c r="H186" s="322">
        <f t="shared" si="26"/>
        <v>14932</v>
      </c>
      <c r="I186" s="322">
        <v>9985</v>
      </c>
      <c r="J186" s="494">
        <f t="shared" si="18"/>
        <v>-0.331301901955532</v>
      </c>
      <c r="K186" s="326" t="s">
        <v>203</v>
      </c>
      <c r="L186" s="316">
        <f t="shared" si="25"/>
        <v>7</v>
      </c>
      <c r="M186" s="478"/>
    </row>
    <row r="187" s="291" customFormat="1" ht="24.95" customHeight="1" spans="1:13">
      <c r="A187" s="310">
        <v>20502</v>
      </c>
      <c r="B187" s="317" t="s">
        <v>204</v>
      </c>
      <c r="C187" s="489">
        <v>478507</v>
      </c>
      <c r="D187" s="490"/>
      <c r="E187" s="318">
        <f t="shared" si="27"/>
        <v>478507</v>
      </c>
      <c r="F187" s="490"/>
      <c r="G187" s="490"/>
      <c r="H187" s="318">
        <f t="shared" si="26"/>
        <v>478507</v>
      </c>
      <c r="I187" s="318">
        <f>SUM(I188:I193)</f>
        <v>694900</v>
      </c>
      <c r="J187" s="491">
        <f t="shared" si="18"/>
        <v>0.452225359294639</v>
      </c>
      <c r="K187" s="330"/>
      <c r="L187" s="316">
        <f t="shared" si="25"/>
        <v>5</v>
      </c>
      <c r="M187" s="478"/>
    </row>
    <row r="188" s="291" customFormat="1" ht="38.1" customHeight="1" spans="1:13">
      <c r="A188" s="310">
        <v>2050201</v>
      </c>
      <c r="B188" s="321" t="s">
        <v>205</v>
      </c>
      <c r="C188" s="492">
        <v>69915</v>
      </c>
      <c r="D188" s="322"/>
      <c r="E188" s="322">
        <f t="shared" si="27"/>
        <v>69915</v>
      </c>
      <c r="F188" s="322"/>
      <c r="G188" s="322"/>
      <c r="H188" s="322">
        <f t="shared" si="26"/>
        <v>69915</v>
      </c>
      <c r="I188" s="322">
        <v>65202</v>
      </c>
      <c r="J188" s="494">
        <f t="shared" si="18"/>
        <v>-0.0674104269470071</v>
      </c>
      <c r="K188" s="326" t="s">
        <v>206</v>
      </c>
      <c r="L188" s="316">
        <f t="shared" si="25"/>
        <v>7</v>
      </c>
      <c r="M188" s="478"/>
    </row>
    <row r="189" s="291" customFormat="1" ht="51.95" customHeight="1" spans="1:13">
      <c r="A189" s="310">
        <v>2050202</v>
      </c>
      <c r="B189" s="321" t="s">
        <v>207</v>
      </c>
      <c r="C189" s="492">
        <v>128875</v>
      </c>
      <c r="D189" s="322"/>
      <c r="E189" s="322">
        <f t="shared" si="27"/>
        <v>128875</v>
      </c>
      <c r="F189" s="322"/>
      <c r="G189" s="322"/>
      <c r="H189" s="322">
        <f t="shared" si="26"/>
        <v>128875</v>
      </c>
      <c r="I189" s="322">
        <v>152882</v>
      </c>
      <c r="J189" s="494">
        <f t="shared" si="18"/>
        <v>0.186281280310378</v>
      </c>
      <c r="K189" s="326" t="s">
        <v>208</v>
      </c>
      <c r="L189" s="316">
        <f t="shared" si="25"/>
        <v>7</v>
      </c>
      <c r="M189" s="478"/>
    </row>
    <row r="190" s="291" customFormat="1" ht="36.95" customHeight="1" spans="1:13">
      <c r="A190" s="310">
        <v>2050203</v>
      </c>
      <c r="B190" s="321" t="s">
        <v>209</v>
      </c>
      <c r="C190" s="492">
        <v>199730</v>
      </c>
      <c r="D190" s="322"/>
      <c r="E190" s="322">
        <f t="shared" si="27"/>
        <v>199730</v>
      </c>
      <c r="F190" s="322"/>
      <c r="G190" s="322"/>
      <c r="H190" s="322">
        <f t="shared" si="26"/>
        <v>199730</v>
      </c>
      <c r="I190" s="322">
        <v>242195</v>
      </c>
      <c r="J190" s="494">
        <f t="shared" si="18"/>
        <v>0.212612026235418</v>
      </c>
      <c r="K190" s="326" t="s">
        <v>208</v>
      </c>
      <c r="L190" s="316">
        <f t="shared" si="25"/>
        <v>7</v>
      </c>
      <c r="M190" s="478"/>
    </row>
    <row r="191" s="291" customFormat="1" ht="39" customHeight="1" spans="1:13">
      <c r="A191" s="310">
        <v>2050204</v>
      </c>
      <c r="B191" s="321" t="s">
        <v>210</v>
      </c>
      <c r="C191" s="492">
        <v>63912</v>
      </c>
      <c r="D191" s="322"/>
      <c r="E191" s="322">
        <f t="shared" si="27"/>
        <v>63912</v>
      </c>
      <c r="F191" s="322"/>
      <c r="G191" s="322"/>
      <c r="H191" s="322">
        <f t="shared" si="26"/>
        <v>63912</v>
      </c>
      <c r="I191" s="322">
        <v>76365</v>
      </c>
      <c r="J191" s="494">
        <f t="shared" si="18"/>
        <v>0.194846038302666</v>
      </c>
      <c r="K191" s="326" t="s">
        <v>208</v>
      </c>
      <c r="L191" s="316">
        <f t="shared" si="25"/>
        <v>7</v>
      </c>
      <c r="M191" s="478"/>
    </row>
    <row r="192" s="291" customFormat="1" ht="24.95" customHeight="1" spans="1:13">
      <c r="A192" s="310">
        <v>2050205</v>
      </c>
      <c r="B192" s="327" t="s">
        <v>211</v>
      </c>
      <c r="C192" s="492"/>
      <c r="D192" s="322"/>
      <c r="E192" s="322">
        <v>0</v>
      </c>
      <c r="F192" s="322"/>
      <c r="G192" s="322"/>
      <c r="H192" s="322"/>
      <c r="I192" s="322"/>
      <c r="J192" s="495">
        <v>0</v>
      </c>
      <c r="K192" s="326"/>
      <c r="L192" s="316">
        <f t="shared" si="25"/>
        <v>7</v>
      </c>
      <c r="M192" s="478"/>
    </row>
    <row r="193" s="291" customFormat="1" ht="150" customHeight="1" spans="1:13">
      <c r="A193" s="310">
        <v>2050299</v>
      </c>
      <c r="B193" s="321" t="s">
        <v>212</v>
      </c>
      <c r="C193" s="492">
        <v>16075</v>
      </c>
      <c r="D193" s="322"/>
      <c r="E193" s="322">
        <f t="shared" ref="E193:E198" si="28">C193+D193</f>
        <v>16075</v>
      </c>
      <c r="F193" s="322"/>
      <c r="G193" s="322"/>
      <c r="H193" s="322">
        <f t="shared" si="26"/>
        <v>16075</v>
      </c>
      <c r="I193" s="322">
        <v>158256</v>
      </c>
      <c r="J193" s="494">
        <f t="shared" si="18"/>
        <v>8.84485225505443</v>
      </c>
      <c r="K193" s="498" t="s">
        <v>213</v>
      </c>
      <c r="L193" s="316">
        <f t="shared" si="25"/>
        <v>7</v>
      </c>
      <c r="M193" s="478"/>
    </row>
    <row r="194" s="291" customFormat="1" ht="24.95" customHeight="1" spans="1:13">
      <c r="A194" s="310">
        <v>20503</v>
      </c>
      <c r="B194" s="317" t="s">
        <v>214</v>
      </c>
      <c r="C194" s="492">
        <v>18393</v>
      </c>
      <c r="D194" s="322"/>
      <c r="E194" s="318">
        <f t="shared" si="28"/>
        <v>18393</v>
      </c>
      <c r="F194" s="322"/>
      <c r="G194" s="322"/>
      <c r="H194" s="318">
        <f t="shared" si="26"/>
        <v>18393</v>
      </c>
      <c r="I194" s="318">
        <f>SUM(I195:I196)</f>
        <v>22085</v>
      </c>
      <c r="J194" s="491">
        <f t="shared" si="18"/>
        <v>0.200728538030773</v>
      </c>
      <c r="K194" s="330"/>
      <c r="L194" s="316">
        <f t="shared" si="25"/>
        <v>5</v>
      </c>
      <c r="M194" s="478"/>
    </row>
    <row r="195" s="291" customFormat="1" ht="32.1" customHeight="1" spans="1:13">
      <c r="A195" s="310">
        <v>2050302</v>
      </c>
      <c r="B195" s="321" t="s">
        <v>215</v>
      </c>
      <c r="C195" s="492">
        <v>17770</v>
      </c>
      <c r="D195" s="322"/>
      <c r="E195" s="322">
        <f t="shared" si="28"/>
        <v>17770</v>
      </c>
      <c r="F195" s="322"/>
      <c r="G195" s="322"/>
      <c r="H195" s="322">
        <f t="shared" si="26"/>
        <v>17770</v>
      </c>
      <c r="I195" s="322">
        <v>19939</v>
      </c>
      <c r="J195" s="494">
        <f t="shared" si="18"/>
        <v>0.122059651097355</v>
      </c>
      <c r="K195" s="326" t="s">
        <v>216</v>
      </c>
      <c r="L195" s="316">
        <f t="shared" si="25"/>
        <v>7</v>
      </c>
      <c r="M195" s="478"/>
    </row>
    <row r="196" s="291" customFormat="1" ht="62.1" customHeight="1" spans="1:13">
      <c r="A196" s="310">
        <v>2050399</v>
      </c>
      <c r="B196" s="321" t="s">
        <v>217</v>
      </c>
      <c r="C196" s="492">
        <v>623</v>
      </c>
      <c r="D196" s="322"/>
      <c r="E196" s="322">
        <f t="shared" si="28"/>
        <v>623</v>
      </c>
      <c r="F196" s="322"/>
      <c r="G196" s="322"/>
      <c r="H196" s="322">
        <f t="shared" si="26"/>
        <v>623</v>
      </c>
      <c r="I196" s="322">
        <v>2146</v>
      </c>
      <c r="J196" s="494">
        <f t="shared" si="18"/>
        <v>2.4446227929374</v>
      </c>
      <c r="K196" s="326" t="s">
        <v>218</v>
      </c>
      <c r="L196" s="316">
        <f t="shared" si="25"/>
        <v>7</v>
      </c>
      <c r="M196" s="478"/>
    </row>
    <row r="197" s="291" customFormat="1" ht="24.95" customHeight="1" spans="1:13">
      <c r="A197" s="310">
        <v>20504</v>
      </c>
      <c r="B197" s="317" t="s">
        <v>219</v>
      </c>
      <c r="C197" s="489">
        <v>1364</v>
      </c>
      <c r="D197" s="490"/>
      <c r="E197" s="318">
        <f t="shared" si="28"/>
        <v>1364</v>
      </c>
      <c r="F197" s="490"/>
      <c r="G197" s="490"/>
      <c r="H197" s="318">
        <f t="shared" si="26"/>
        <v>1364</v>
      </c>
      <c r="I197" s="318">
        <f>I198</f>
        <v>1545</v>
      </c>
      <c r="J197" s="491">
        <f t="shared" si="18"/>
        <v>0.132697947214076</v>
      </c>
      <c r="K197" s="330"/>
      <c r="L197" s="316">
        <f t="shared" si="25"/>
        <v>5</v>
      </c>
      <c r="M197" s="478"/>
    </row>
    <row r="198" s="291" customFormat="1" ht="24.95" customHeight="1" spans="1:13">
      <c r="A198" s="310">
        <v>2050404</v>
      </c>
      <c r="B198" s="321" t="s">
        <v>220</v>
      </c>
      <c r="C198" s="492">
        <v>1364</v>
      </c>
      <c r="D198" s="322"/>
      <c r="E198" s="322">
        <f t="shared" si="28"/>
        <v>1364</v>
      </c>
      <c r="F198" s="322"/>
      <c r="G198" s="322"/>
      <c r="H198" s="322">
        <f t="shared" si="26"/>
        <v>1364</v>
      </c>
      <c r="I198" s="322">
        <v>1545</v>
      </c>
      <c r="J198" s="494">
        <f t="shared" ref="J198:J257" si="29">I198/H198-1</f>
        <v>0.132697947214076</v>
      </c>
      <c r="K198" s="326"/>
      <c r="L198" s="316">
        <f t="shared" si="25"/>
        <v>7</v>
      </c>
      <c r="M198" s="478"/>
    </row>
    <row r="199" s="291" customFormat="1" ht="24.95" customHeight="1" spans="1:13">
      <c r="A199" s="310">
        <v>20505</v>
      </c>
      <c r="B199" s="332" t="s">
        <v>221</v>
      </c>
      <c r="C199" s="489"/>
      <c r="D199" s="490"/>
      <c r="E199" s="318">
        <v>0</v>
      </c>
      <c r="F199" s="490"/>
      <c r="G199" s="490"/>
      <c r="H199" s="318">
        <f t="shared" si="26"/>
        <v>0</v>
      </c>
      <c r="I199" s="318">
        <v>1</v>
      </c>
      <c r="J199" s="496">
        <v>0</v>
      </c>
      <c r="K199" s="330"/>
      <c r="L199" s="316">
        <f t="shared" si="25"/>
        <v>5</v>
      </c>
      <c r="M199" s="478"/>
    </row>
    <row r="200" s="291" customFormat="1" ht="24.95" customHeight="1" spans="1:13">
      <c r="A200" s="310">
        <v>2050599</v>
      </c>
      <c r="B200" s="327" t="s">
        <v>222</v>
      </c>
      <c r="C200" s="492"/>
      <c r="D200" s="322"/>
      <c r="E200" s="322">
        <v>0</v>
      </c>
      <c r="F200" s="322"/>
      <c r="G200" s="322"/>
      <c r="H200" s="322">
        <f t="shared" si="26"/>
        <v>0</v>
      </c>
      <c r="I200" s="322">
        <v>1</v>
      </c>
      <c r="J200" s="495">
        <v>0</v>
      </c>
      <c r="K200" s="326"/>
      <c r="L200" s="316">
        <f t="shared" si="25"/>
        <v>7</v>
      </c>
      <c r="M200" s="478"/>
    </row>
    <row r="201" s="291" customFormat="1" ht="24.95" customHeight="1" spans="1:13">
      <c r="A201" s="310">
        <v>20507</v>
      </c>
      <c r="B201" s="317" t="s">
        <v>223</v>
      </c>
      <c r="C201" s="489">
        <v>249</v>
      </c>
      <c r="D201" s="490"/>
      <c r="E201" s="318">
        <f t="shared" ref="E201:E214" si="30">C201+D201</f>
        <v>249</v>
      </c>
      <c r="F201" s="490"/>
      <c r="G201" s="490"/>
      <c r="H201" s="318">
        <f t="shared" si="26"/>
        <v>249</v>
      </c>
      <c r="I201" s="318">
        <f>SUM(I202:I203)</f>
        <v>467</v>
      </c>
      <c r="J201" s="491">
        <f t="shared" si="29"/>
        <v>0.875502008032129</v>
      </c>
      <c r="K201" s="330"/>
      <c r="L201" s="316">
        <f t="shared" si="25"/>
        <v>5</v>
      </c>
      <c r="M201" s="478"/>
    </row>
    <row r="202" s="291" customFormat="1" ht="45.95" customHeight="1" spans="1:13">
      <c r="A202" s="310">
        <v>2050701</v>
      </c>
      <c r="B202" s="321" t="s">
        <v>224</v>
      </c>
      <c r="C202" s="492">
        <v>249</v>
      </c>
      <c r="D202" s="322"/>
      <c r="E202" s="322">
        <f t="shared" si="30"/>
        <v>249</v>
      </c>
      <c r="F202" s="322"/>
      <c r="G202" s="322"/>
      <c r="H202" s="322">
        <f t="shared" si="26"/>
        <v>249</v>
      </c>
      <c r="I202" s="322">
        <v>426</v>
      </c>
      <c r="J202" s="494">
        <f t="shared" si="29"/>
        <v>0.710843373493976</v>
      </c>
      <c r="K202" s="326" t="s">
        <v>225</v>
      </c>
      <c r="L202" s="316">
        <f t="shared" si="25"/>
        <v>7</v>
      </c>
      <c r="M202" s="478"/>
    </row>
    <row r="203" s="291" customFormat="1" ht="24.95" customHeight="1" spans="1:13">
      <c r="A203" s="310">
        <v>2050799</v>
      </c>
      <c r="B203" s="321" t="s">
        <v>226</v>
      </c>
      <c r="C203" s="492"/>
      <c r="D203" s="322"/>
      <c r="E203" s="322">
        <v>0</v>
      </c>
      <c r="F203" s="322"/>
      <c r="G203" s="322"/>
      <c r="H203" s="322">
        <v>0</v>
      </c>
      <c r="I203" s="322">
        <v>41</v>
      </c>
      <c r="J203" s="495">
        <v>0</v>
      </c>
      <c r="K203" s="326"/>
      <c r="L203" s="316">
        <v>7</v>
      </c>
      <c r="M203" s="478"/>
    </row>
    <row r="204" s="291" customFormat="1" ht="24.95" customHeight="1" spans="1:13">
      <c r="A204" s="310">
        <v>20508</v>
      </c>
      <c r="B204" s="317" t="s">
        <v>227</v>
      </c>
      <c r="C204" s="489">
        <v>3903</v>
      </c>
      <c r="D204" s="490"/>
      <c r="E204" s="318">
        <f t="shared" si="30"/>
        <v>3903</v>
      </c>
      <c r="F204" s="490"/>
      <c r="G204" s="490"/>
      <c r="H204" s="318">
        <f t="shared" ref="H204:H214" si="31">E204-F204-G204</f>
        <v>3903</v>
      </c>
      <c r="I204" s="318">
        <f>SUM(I205:I207)</f>
        <v>3816</v>
      </c>
      <c r="J204" s="491">
        <f t="shared" si="29"/>
        <v>-0.0222905457340508</v>
      </c>
      <c r="K204" s="330"/>
      <c r="L204" s="316">
        <f t="shared" ref="L204:L216" si="32">LEN(A204)</f>
        <v>5</v>
      </c>
      <c r="M204" s="478"/>
    </row>
    <row r="205" s="291" customFormat="1" ht="24.95" customHeight="1" spans="1:13">
      <c r="A205" s="310">
        <v>2050801</v>
      </c>
      <c r="B205" s="321" t="s">
        <v>228</v>
      </c>
      <c r="C205" s="492">
        <v>1333</v>
      </c>
      <c r="D205" s="322"/>
      <c r="E205" s="322">
        <f t="shared" si="30"/>
        <v>1333</v>
      </c>
      <c r="F205" s="322"/>
      <c r="G205" s="322"/>
      <c r="H205" s="322">
        <f t="shared" si="31"/>
        <v>1333</v>
      </c>
      <c r="I205" s="322">
        <v>1534</v>
      </c>
      <c r="J205" s="494">
        <f t="shared" si="29"/>
        <v>0.150787696924231</v>
      </c>
      <c r="K205" s="326"/>
      <c r="L205" s="316">
        <f t="shared" si="32"/>
        <v>7</v>
      </c>
      <c r="M205" s="478"/>
    </row>
    <row r="206" s="291" customFormat="1" ht="24.95" customHeight="1" spans="1:13">
      <c r="A206" s="310">
        <v>2050802</v>
      </c>
      <c r="B206" s="321" t="s">
        <v>229</v>
      </c>
      <c r="C206" s="492">
        <v>1351</v>
      </c>
      <c r="D206" s="322"/>
      <c r="E206" s="322">
        <f t="shared" si="30"/>
        <v>1351</v>
      </c>
      <c r="F206" s="322"/>
      <c r="G206" s="322"/>
      <c r="H206" s="322">
        <f t="shared" si="31"/>
        <v>1351</v>
      </c>
      <c r="I206" s="322">
        <v>1454</v>
      </c>
      <c r="J206" s="494">
        <f t="shared" si="29"/>
        <v>0.0762398223538119</v>
      </c>
      <c r="K206" s="326"/>
      <c r="L206" s="316">
        <f t="shared" si="32"/>
        <v>7</v>
      </c>
      <c r="M206" s="478"/>
    </row>
    <row r="207" s="291" customFormat="1" ht="24.95" customHeight="1" spans="1:13">
      <c r="A207" s="310">
        <v>2050803</v>
      </c>
      <c r="B207" s="321" t="s">
        <v>230</v>
      </c>
      <c r="C207" s="492">
        <v>1219</v>
      </c>
      <c r="D207" s="322"/>
      <c r="E207" s="322">
        <f t="shared" si="30"/>
        <v>1219</v>
      </c>
      <c r="F207" s="322"/>
      <c r="G207" s="322"/>
      <c r="H207" s="322">
        <f t="shared" si="31"/>
        <v>1219</v>
      </c>
      <c r="I207" s="322">
        <v>828</v>
      </c>
      <c r="J207" s="494">
        <f t="shared" si="29"/>
        <v>-0.320754716981132</v>
      </c>
      <c r="K207" s="326" t="s">
        <v>231</v>
      </c>
      <c r="L207" s="316">
        <f t="shared" si="32"/>
        <v>7</v>
      </c>
      <c r="M207" s="478"/>
    </row>
    <row r="208" s="291" customFormat="1" ht="42.95" customHeight="1" spans="1:13">
      <c r="A208" s="310">
        <v>20509</v>
      </c>
      <c r="B208" s="317" t="s">
        <v>232</v>
      </c>
      <c r="C208" s="489">
        <v>87408</v>
      </c>
      <c r="D208" s="490"/>
      <c r="E208" s="318">
        <f t="shared" si="30"/>
        <v>87408</v>
      </c>
      <c r="F208" s="490"/>
      <c r="G208" s="490"/>
      <c r="H208" s="318">
        <f t="shared" si="31"/>
        <v>87408</v>
      </c>
      <c r="I208" s="318">
        <f>I209</f>
        <v>82848</v>
      </c>
      <c r="J208" s="491">
        <f t="shared" si="29"/>
        <v>-0.0521691378363537</v>
      </c>
      <c r="K208" s="330"/>
      <c r="L208" s="316">
        <f t="shared" si="32"/>
        <v>5</v>
      </c>
      <c r="M208" s="478"/>
    </row>
    <row r="209" s="291" customFormat="1" ht="39.95" customHeight="1" spans="1:13">
      <c r="A209" s="310">
        <v>2050999</v>
      </c>
      <c r="B209" s="321" t="s">
        <v>233</v>
      </c>
      <c r="C209" s="492">
        <v>87408</v>
      </c>
      <c r="D209" s="322"/>
      <c r="E209" s="322">
        <f t="shared" si="30"/>
        <v>87408</v>
      </c>
      <c r="F209" s="322"/>
      <c r="G209" s="322"/>
      <c r="H209" s="322">
        <f t="shared" si="31"/>
        <v>87408</v>
      </c>
      <c r="I209" s="322">
        <v>82848</v>
      </c>
      <c r="J209" s="494">
        <f t="shared" si="29"/>
        <v>-0.0521691378363537</v>
      </c>
      <c r="K209" s="326" t="s">
        <v>234</v>
      </c>
      <c r="L209" s="316">
        <f t="shared" si="32"/>
        <v>7</v>
      </c>
      <c r="M209" s="478"/>
    </row>
    <row r="210" s="291" customFormat="1" ht="24.95" customHeight="1" spans="1:13">
      <c r="A210" s="310">
        <v>20599</v>
      </c>
      <c r="B210" s="317" t="s">
        <v>235</v>
      </c>
      <c r="C210" s="489">
        <v>125238</v>
      </c>
      <c r="D210" s="490"/>
      <c r="E210" s="318">
        <f t="shared" si="30"/>
        <v>125238</v>
      </c>
      <c r="F210" s="490"/>
      <c r="G210" s="490"/>
      <c r="H210" s="318">
        <f t="shared" si="31"/>
        <v>125238</v>
      </c>
      <c r="I210" s="318">
        <f>I211</f>
        <v>112353</v>
      </c>
      <c r="J210" s="491">
        <f t="shared" si="29"/>
        <v>-0.102884108657117</v>
      </c>
      <c r="K210" s="330"/>
      <c r="L210" s="316">
        <f t="shared" si="32"/>
        <v>5</v>
      </c>
      <c r="M210" s="478"/>
    </row>
    <row r="211" s="291" customFormat="1" ht="41.1" customHeight="1" spans="1:13">
      <c r="A211" s="310">
        <v>2059999</v>
      </c>
      <c r="B211" s="321" t="s">
        <v>236</v>
      </c>
      <c r="C211" s="492">
        <v>125238</v>
      </c>
      <c r="D211" s="322"/>
      <c r="E211" s="322">
        <f t="shared" si="30"/>
        <v>125238</v>
      </c>
      <c r="F211" s="322"/>
      <c r="G211" s="322"/>
      <c r="H211" s="322">
        <f t="shared" si="31"/>
        <v>125238</v>
      </c>
      <c r="I211" s="322">
        <v>112353</v>
      </c>
      <c r="J211" s="494">
        <f t="shared" si="29"/>
        <v>-0.102884108657117</v>
      </c>
      <c r="K211" s="326" t="s">
        <v>237</v>
      </c>
      <c r="L211" s="316">
        <f t="shared" si="32"/>
        <v>7</v>
      </c>
      <c r="M211" s="478"/>
    </row>
    <row r="212" s="291" customFormat="1" ht="24.95" customHeight="1" spans="1:13">
      <c r="A212" s="310">
        <v>206</v>
      </c>
      <c r="B212" s="311" t="s">
        <v>238</v>
      </c>
      <c r="C212" s="487">
        <v>9062</v>
      </c>
      <c r="D212" s="313"/>
      <c r="E212" s="312">
        <f t="shared" si="30"/>
        <v>9062</v>
      </c>
      <c r="F212" s="313"/>
      <c r="G212" s="313"/>
      <c r="H212" s="312">
        <f t="shared" si="31"/>
        <v>9062</v>
      </c>
      <c r="I212" s="312">
        <f>I213+I217+I219+I222+I225+I228+I230</f>
        <v>116952</v>
      </c>
      <c r="J212" s="488">
        <f t="shared" si="29"/>
        <v>11.9057603178106</v>
      </c>
      <c r="K212" s="313"/>
      <c r="L212" s="316">
        <f t="shared" si="32"/>
        <v>3</v>
      </c>
      <c r="M212" s="478"/>
    </row>
    <row r="213" s="291" customFormat="1" ht="24.95" customHeight="1" spans="1:13">
      <c r="A213" s="310">
        <v>20601</v>
      </c>
      <c r="B213" s="317" t="s">
        <v>239</v>
      </c>
      <c r="C213" s="489">
        <v>1211</v>
      </c>
      <c r="D213" s="490"/>
      <c r="E213" s="318">
        <f t="shared" si="30"/>
        <v>1211</v>
      </c>
      <c r="F213" s="490"/>
      <c r="G213" s="490"/>
      <c r="H213" s="318">
        <f t="shared" si="31"/>
        <v>1211</v>
      </c>
      <c r="I213" s="318">
        <f>SUM(I214:I216)</f>
        <v>1394</v>
      </c>
      <c r="J213" s="491">
        <f t="shared" si="29"/>
        <v>0.151114781172585</v>
      </c>
      <c r="K213" s="330"/>
      <c r="L213" s="316">
        <f t="shared" si="32"/>
        <v>5</v>
      </c>
      <c r="M213" s="478"/>
    </row>
    <row r="214" s="291" customFormat="1" ht="24.95" customHeight="1" spans="1:13">
      <c r="A214" s="310">
        <v>2060101</v>
      </c>
      <c r="B214" s="321" t="s">
        <v>49</v>
      </c>
      <c r="C214" s="492">
        <v>1211</v>
      </c>
      <c r="D214" s="322"/>
      <c r="E214" s="322">
        <f t="shared" si="30"/>
        <v>1211</v>
      </c>
      <c r="F214" s="322"/>
      <c r="G214" s="322"/>
      <c r="H214" s="322">
        <f t="shared" si="31"/>
        <v>1211</v>
      </c>
      <c r="I214" s="322">
        <v>1394</v>
      </c>
      <c r="J214" s="494">
        <f t="shared" si="29"/>
        <v>0.151114781172585</v>
      </c>
      <c r="K214" s="326"/>
      <c r="L214" s="316">
        <f t="shared" si="32"/>
        <v>7</v>
      </c>
      <c r="M214" s="478"/>
    </row>
    <row r="215" s="291" customFormat="1" ht="24.95" customHeight="1" spans="1:13">
      <c r="A215" s="310">
        <v>2060102</v>
      </c>
      <c r="B215" s="327" t="s">
        <v>50</v>
      </c>
      <c r="C215" s="492"/>
      <c r="D215" s="322"/>
      <c r="E215" s="322">
        <v>0</v>
      </c>
      <c r="F215" s="322"/>
      <c r="G215" s="322"/>
      <c r="H215" s="322"/>
      <c r="I215" s="322"/>
      <c r="J215" s="495">
        <v>0</v>
      </c>
      <c r="K215" s="326"/>
      <c r="L215" s="316">
        <f t="shared" si="32"/>
        <v>7</v>
      </c>
      <c r="M215" s="478"/>
    </row>
    <row r="216" s="291" customFormat="1" ht="48.95" customHeight="1" spans="1:13">
      <c r="A216" s="310">
        <v>2060199</v>
      </c>
      <c r="B216" s="327" t="s">
        <v>240</v>
      </c>
      <c r="C216" s="492"/>
      <c r="D216" s="322"/>
      <c r="E216" s="322">
        <v>0</v>
      </c>
      <c r="F216" s="322"/>
      <c r="G216" s="322"/>
      <c r="H216" s="322"/>
      <c r="I216" s="322"/>
      <c r="J216" s="495">
        <v>0</v>
      </c>
      <c r="K216" s="326"/>
      <c r="L216" s="316">
        <f t="shared" si="32"/>
        <v>7</v>
      </c>
      <c r="M216" s="478"/>
    </row>
    <row r="217" s="291" customFormat="1" ht="24.95" customHeight="1" spans="1:13">
      <c r="A217" s="310">
        <v>20602</v>
      </c>
      <c r="B217" s="332" t="s">
        <v>241</v>
      </c>
      <c r="C217" s="499"/>
      <c r="D217" s="318"/>
      <c r="E217" s="318">
        <v>0</v>
      </c>
      <c r="F217" s="318"/>
      <c r="G217" s="318"/>
      <c r="H217" s="318">
        <v>0</v>
      </c>
      <c r="I217" s="318">
        <f>I218</f>
        <v>278</v>
      </c>
      <c r="J217" s="496">
        <v>0</v>
      </c>
      <c r="K217" s="330"/>
      <c r="L217" s="316"/>
      <c r="M217" s="478"/>
    </row>
    <row r="218" s="291" customFormat="1" ht="24.95" customHeight="1" spans="1:13">
      <c r="A218" s="310">
        <v>2060203</v>
      </c>
      <c r="B218" s="327" t="s">
        <v>242</v>
      </c>
      <c r="C218" s="492"/>
      <c r="D218" s="322"/>
      <c r="E218" s="322">
        <v>0</v>
      </c>
      <c r="F218" s="322"/>
      <c r="G218" s="322"/>
      <c r="H218" s="322">
        <v>0</v>
      </c>
      <c r="I218" s="322">
        <v>278</v>
      </c>
      <c r="J218" s="495">
        <v>0</v>
      </c>
      <c r="K218" s="326"/>
      <c r="L218" s="316"/>
      <c r="M218" s="478"/>
    </row>
    <row r="219" s="291" customFormat="1" ht="24.95" customHeight="1" spans="1:13">
      <c r="A219" s="310">
        <v>20604</v>
      </c>
      <c r="B219" s="317" t="s">
        <v>243</v>
      </c>
      <c r="C219" s="489">
        <v>15</v>
      </c>
      <c r="D219" s="490"/>
      <c r="E219" s="318">
        <f t="shared" ref="E219:E246" si="33">C219+D219</f>
        <v>15</v>
      </c>
      <c r="F219" s="490"/>
      <c r="G219" s="490"/>
      <c r="H219" s="318">
        <f t="shared" ref="H219:H257" si="34">E219-F219-G219</f>
        <v>15</v>
      </c>
      <c r="I219" s="318">
        <f>SUM(I220:I221)</f>
        <v>3102</v>
      </c>
      <c r="J219" s="491">
        <f t="shared" si="29"/>
        <v>205.8</v>
      </c>
      <c r="K219" s="330"/>
      <c r="L219" s="316">
        <f t="shared" ref="L219:L257" si="35">LEN(A219)</f>
        <v>5</v>
      </c>
      <c r="M219" s="478"/>
    </row>
    <row r="220" s="291" customFormat="1" ht="24.95" customHeight="1" spans="1:13">
      <c r="A220" s="310">
        <v>2060403</v>
      </c>
      <c r="B220" s="327" t="s">
        <v>244</v>
      </c>
      <c r="C220" s="492"/>
      <c r="D220" s="322"/>
      <c r="E220" s="322">
        <v>0</v>
      </c>
      <c r="F220" s="322"/>
      <c r="G220" s="322"/>
      <c r="H220" s="322">
        <f t="shared" si="34"/>
        <v>0</v>
      </c>
      <c r="I220" s="322">
        <v>3007</v>
      </c>
      <c r="J220" s="495">
        <v>0</v>
      </c>
      <c r="K220" s="326" t="s">
        <v>245</v>
      </c>
      <c r="L220" s="316">
        <f t="shared" si="35"/>
        <v>7</v>
      </c>
      <c r="M220" s="478"/>
    </row>
    <row r="221" s="291" customFormat="1" ht="24.95" customHeight="1" spans="1:13">
      <c r="A221" s="310">
        <v>2060499</v>
      </c>
      <c r="B221" s="321" t="s">
        <v>246</v>
      </c>
      <c r="C221" s="492">
        <v>15</v>
      </c>
      <c r="D221" s="322"/>
      <c r="E221" s="322">
        <f t="shared" si="33"/>
        <v>15</v>
      </c>
      <c r="F221" s="322"/>
      <c r="G221" s="322"/>
      <c r="H221" s="322">
        <f t="shared" si="34"/>
        <v>15</v>
      </c>
      <c r="I221" s="322">
        <v>95</v>
      </c>
      <c r="J221" s="494">
        <f t="shared" si="29"/>
        <v>5.33333333333333</v>
      </c>
      <c r="K221" s="326"/>
      <c r="L221" s="316">
        <f t="shared" si="35"/>
        <v>7</v>
      </c>
      <c r="M221" s="478"/>
    </row>
    <row r="222" s="291" customFormat="1" ht="24.95" customHeight="1" spans="1:13">
      <c r="A222" s="310">
        <v>20605</v>
      </c>
      <c r="B222" s="317" t="s">
        <v>247</v>
      </c>
      <c r="C222" s="489">
        <v>665</v>
      </c>
      <c r="D222" s="490"/>
      <c r="E222" s="318">
        <f t="shared" si="33"/>
        <v>665</v>
      </c>
      <c r="F222" s="490"/>
      <c r="G222" s="490"/>
      <c r="H222" s="318">
        <f t="shared" si="34"/>
        <v>665</v>
      </c>
      <c r="I222" s="318">
        <f>SUM(I223:I224)</f>
        <v>725</v>
      </c>
      <c r="J222" s="491">
        <f t="shared" si="29"/>
        <v>0.0902255639097744</v>
      </c>
      <c r="K222" s="330"/>
      <c r="L222" s="316">
        <f t="shared" si="35"/>
        <v>5</v>
      </c>
      <c r="M222" s="478"/>
    </row>
    <row r="223" s="291" customFormat="1" ht="24.95" customHeight="1" spans="1:13">
      <c r="A223" s="310">
        <v>2060501</v>
      </c>
      <c r="B223" s="321" t="s">
        <v>248</v>
      </c>
      <c r="C223" s="492">
        <v>629</v>
      </c>
      <c r="D223" s="322"/>
      <c r="E223" s="322">
        <f t="shared" si="33"/>
        <v>629</v>
      </c>
      <c r="F223" s="322"/>
      <c r="G223" s="322"/>
      <c r="H223" s="322">
        <f t="shared" si="34"/>
        <v>629</v>
      </c>
      <c r="I223" s="322">
        <v>690</v>
      </c>
      <c r="J223" s="494">
        <f t="shared" si="29"/>
        <v>0.09697933227345</v>
      </c>
      <c r="K223" s="326"/>
      <c r="L223" s="316">
        <f t="shared" si="35"/>
        <v>7</v>
      </c>
      <c r="M223" s="478"/>
    </row>
    <row r="224" s="291" customFormat="1" ht="24.95" customHeight="1" spans="1:13">
      <c r="A224" s="310">
        <v>2060599</v>
      </c>
      <c r="B224" s="321" t="s">
        <v>249</v>
      </c>
      <c r="C224" s="492">
        <v>36</v>
      </c>
      <c r="D224" s="322"/>
      <c r="E224" s="322">
        <f t="shared" si="33"/>
        <v>36</v>
      </c>
      <c r="F224" s="322"/>
      <c r="G224" s="322"/>
      <c r="H224" s="322">
        <f t="shared" si="34"/>
        <v>36</v>
      </c>
      <c r="I224" s="322">
        <v>35</v>
      </c>
      <c r="J224" s="494">
        <f t="shared" si="29"/>
        <v>-0.0277777777777778</v>
      </c>
      <c r="K224" s="326"/>
      <c r="L224" s="316">
        <f t="shared" si="35"/>
        <v>7</v>
      </c>
      <c r="M224" s="478"/>
    </row>
    <row r="225" s="291" customFormat="1" ht="24.95" customHeight="1" spans="1:13">
      <c r="A225" s="310">
        <v>20607</v>
      </c>
      <c r="B225" s="317" t="s">
        <v>250</v>
      </c>
      <c r="C225" s="489">
        <v>640</v>
      </c>
      <c r="D225" s="490"/>
      <c r="E225" s="318">
        <f t="shared" si="33"/>
        <v>640</v>
      </c>
      <c r="F225" s="490"/>
      <c r="G225" s="490"/>
      <c r="H225" s="318">
        <f t="shared" si="34"/>
        <v>640</v>
      </c>
      <c r="I225" s="318">
        <f>SUM(I226:I227)</f>
        <v>676</v>
      </c>
      <c r="J225" s="491">
        <f t="shared" si="29"/>
        <v>0.0562499999999999</v>
      </c>
      <c r="K225" s="330"/>
      <c r="L225" s="316">
        <f t="shared" si="35"/>
        <v>5</v>
      </c>
      <c r="M225" s="478"/>
    </row>
    <row r="226" s="291" customFormat="1" ht="24.95" customHeight="1" spans="1:13">
      <c r="A226" s="310">
        <v>2060702</v>
      </c>
      <c r="B226" s="321" t="s">
        <v>251</v>
      </c>
      <c r="C226" s="492">
        <v>640</v>
      </c>
      <c r="D226" s="322"/>
      <c r="E226" s="322">
        <f t="shared" si="33"/>
        <v>640</v>
      </c>
      <c r="F226" s="322"/>
      <c r="G226" s="322"/>
      <c r="H226" s="322">
        <f t="shared" si="34"/>
        <v>640</v>
      </c>
      <c r="I226" s="322">
        <v>676</v>
      </c>
      <c r="J226" s="494">
        <f t="shared" si="29"/>
        <v>0.0562499999999999</v>
      </c>
      <c r="K226" s="326"/>
      <c r="L226" s="316">
        <f t="shared" si="35"/>
        <v>7</v>
      </c>
      <c r="M226" s="478"/>
    </row>
    <row r="227" s="291" customFormat="1" ht="24.95" customHeight="1" spans="1:13">
      <c r="A227" s="310">
        <v>2060799</v>
      </c>
      <c r="B227" s="321" t="s">
        <v>252</v>
      </c>
      <c r="C227" s="492">
        <v>0</v>
      </c>
      <c r="D227" s="322"/>
      <c r="E227" s="322">
        <f t="shared" si="33"/>
        <v>0</v>
      </c>
      <c r="F227" s="322"/>
      <c r="G227" s="322"/>
      <c r="H227" s="322"/>
      <c r="I227" s="322"/>
      <c r="J227" s="495">
        <v>0</v>
      </c>
      <c r="K227" s="326"/>
      <c r="L227" s="316">
        <f t="shared" si="35"/>
        <v>7</v>
      </c>
      <c r="M227" s="478"/>
    </row>
    <row r="228" s="291" customFormat="1" ht="24.95" customHeight="1" spans="1:13">
      <c r="A228" s="310">
        <v>20608</v>
      </c>
      <c r="B228" s="317" t="s">
        <v>253</v>
      </c>
      <c r="C228" s="489">
        <v>158</v>
      </c>
      <c r="D228" s="490"/>
      <c r="E228" s="318">
        <f t="shared" si="33"/>
        <v>158</v>
      </c>
      <c r="F228" s="490"/>
      <c r="G228" s="490"/>
      <c r="H228" s="318">
        <f t="shared" si="34"/>
        <v>158</v>
      </c>
      <c r="I228" s="318">
        <f>I229</f>
        <v>254</v>
      </c>
      <c r="J228" s="491">
        <f t="shared" si="29"/>
        <v>0.607594936708861</v>
      </c>
      <c r="K228" s="330"/>
      <c r="L228" s="316">
        <f t="shared" si="35"/>
        <v>5</v>
      </c>
      <c r="M228" s="478"/>
    </row>
    <row r="229" s="291" customFormat="1" ht="48.95" customHeight="1" spans="1:13">
      <c r="A229" s="310">
        <v>2060899</v>
      </c>
      <c r="B229" s="321" t="s">
        <v>254</v>
      </c>
      <c r="C229" s="492">
        <v>158</v>
      </c>
      <c r="D229" s="322"/>
      <c r="E229" s="322">
        <f t="shared" si="33"/>
        <v>158</v>
      </c>
      <c r="F229" s="322"/>
      <c r="G229" s="322"/>
      <c r="H229" s="322">
        <f t="shared" si="34"/>
        <v>158</v>
      </c>
      <c r="I229" s="322">
        <v>254</v>
      </c>
      <c r="J229" s="494">
        <f t="shared" si="29"/>
        <v>0.607594936708861</v>
      </c>
      <c r="K229" s="326" t="s">
        <v>255</v>
      </c>
      <c r="L229" s="316">
        <f t="shared" si="35"/>
        <v>7</v>
      </c>
      <c r="M229" s="478"/>
    </row>
    <row r="230" s="291" customFormat="1" ht="24.95" customHeight="1" spans="1:13">
      <c r="A230" s="310">
        <v>20699</v>
      </c>
      <c r="B230" s="317" t="s">
        <v>256</v>
      </c>
      <c r="C230" s="489">
        <v>6373</v>
      </c>
      <c r="D230" s="490"/>
      <c r="E230" s="318">
        <f t="shared" si="33"/>
        <v>6373</v>
      </c>
      <c r="F230" s="490"/>
      <c r="G230" s="490"/>
      <c r="H230" s="318">
        <f t="shared" si="34"/>
        <v>6373</v>
      </c>
      <c r="I230" s="318">
        <f>I231</f>
        <v>110523</v>
      </c>
      <c r="J230" s="491">
        <f t="shared" si="29"/>
        <v>16.3423819237408</v>
      </c>
      <c r="K230" s="330"/>
      <c r="L230" s="316">
        <f t="shared" si="35"/>
        <v>5</v>
      </c>
      <c r="M230" s="478"/>
    </row>
    <row r="231" s="291" customFormat="1" ht="66.95" customHeight="1" spans="1:13">
      <c r="A231" s="310">
        <v>2069999</v>
      </c>
      <c r="B231" s="321" t="s">
        <v>257</v>
      </c>
      <c r="C231" s="492">
        <v>6373</v>
      </c>
      <c r="D231" s="322"/>
      <c r="E231" s="322">
        <f t="shared" si="33"/>
        <v>6373</v>
      </c>
      <c r="F231" s="322"/>
      <c r="G231" s="322"/>
      <c r="H231" s="322">
        <f t="shared" si="34"/>
        <v>6373</v>
      </c>
      <c r="I231" s="322">
        <v>110523</v>
      </c>
      <c r="J231" s="494">
        <f t="shared" si="29"/>
        <v>16.3423819237408</v>
      </c>
      <c r="K231" s="326" t="s">
        <v>258</v>
      </c>
      <c r="L231" s="316">
        <f t="shared" si="35"/>
        <v>7</v>
      </c>
      <c r="M231" s="478"/>
    </row>
    <row r="232" s="291" customFormat="1" ht="54" customHeight="1" spans="1:13">
      <c r="A232" s="310">
        <v>207</v>
      </c>
      <c r="B232" s="311" t="s">
        <v>259</v>
      </c>
      <c r="C232" s="487">
        <v>51326</v>
      </c>
      <c r="D232" s="313"/>
      <c r="E232" s="312">
        <f t="shared" si="33"/>
        <v>51326</v>
      </c>
      <c r="F232" s="313"/>
      <c r="G232" s="313"/>
      <c r="H232" s="312">
        <f t="shared" si="34"/>
        <v>51326</v>
      </c>
      <c r="I232" s="312">
        <f>I233+I246+I250+I256+I259</f>
        <v>64589</v>
      </c>
      <c r="J232" s="488">
        <f t="shared" si="29"/>
        <v>0.258407045162296</v>
      </c>
      <c r="K232" s="313"/>
      <c r="L232" s="316">
        <f t="shared" si="35"/>
        <v>3</v>
      </c>
      <c r="M232" s="478"/>
    </row>
    <row r="233" s="291" customFormat="1" ht="24.95" customHeight="1" spans="1:13">
      <c r="A233" s="310">
        <v>20701</v>
      </c>
      <c r="B233" s="317" t="s">
        <v>260</v>
      </c>
      <c r="C233" s="489">
        <v>21757</v>
      </c>
      <c r="D233" s="490"/>
      <c r="E233" s="318">
        <f t="shared" si="33"/>
        <v>21757</v>
      </c>
      <c r="F233" s="490"/>
      <c r="G233" s="490"/>
      <c r="H233" s="318">
        <f t="shared" si="34"/>
        <v>21757</v>
      </c>
      <c r="I233" s="318">
        <f>SUM(I234:I245)</f>
        <v>34070</v>
      </c>
      <c r="J233" s="491">
        <f t="shared" si="29"/>
        <v>0.56593280323574</v>
      </c>
      <c r="K233" s="330"/>
      <c r="L233" s="316">
        <f t="shared" si="35"/>
        <v>5</v>
      </c>
      <c r="M233" s="478"/>
    </row>
    <row r="234" s="291" customFormat="1" ht="24.95" customHeight="1" spans="1:13">
      <c r="A234" s="310">
        <v>2070101</v>
      </c>
      <c r="B234" s="321" t="s">
        <v>49</v>
      </c>
      <c r="C234" s="492">
        <v>3364</v>
      </c>
      <c r="D234" s="322"/>
      <c r="E234" s="322">
        <f t="shared" si="33"/>
        <v>3364</v>
      </c>
      <c r="F234" s="322"/>
      <c r="G234" s="322"/>
      <c r="H234" s="322">
        <f t="shared" si="34"/>
        <v>3364</v>
      </c>
      <c r="I234" s="322">
        <v>3876</v>
      </c>
      <c r="J234" s="494">
        <f t="shared" si="29"/>
        <v>0.152199762187872</v>
      </c>
      <c r="K234" s="326"/>
      <c r="L234" s="316">
        <f t="shared" si="35"/>
        <v>7</v>
      </c>
      <c r="M234" s="478"/>
    </row>
    <row r="235" s="291" customFormat="1" ht="24.95" customHeight="1" spans="1:13">
      <c r="A235" s="310">
        <v>2070102</v>
      </c>
      <c r="B235" s="321" t="s">
        <v>50</v>
      </c>
      <c r="C235" s="492">
        <v>410</v>
      </c>
      <c r="D235" s="322"/>
      <c r="E235" s="322">
        <f t="shared" si="33"/>
        <v>410</v>
      </c>
      <c r="F235" s="322"/>
      <c r="G235" s="322"/>
      <c r="H235" s="322">
        <f t="shared" si="34"/>
        <v>410</v>
      </c>
      <c r="I235" s="322">
        <v>402</v>
      </c>
      <c r="J235" s="494">
        <f t="shared" si="29"/>
        <v>-0.0195121951219512</v>
      </c>
      <c r="K235" s="326"/>
      <c r="L235" s="316">
        <f t="shared" si="35"/>
        <v>7</v>
      </c>
      <c r="M235" s="478"/>
    </row>
    <row r="236" s="291" customFormat="1" ht="24.95" customHeight="1" spans="1:13">
      <c r="A236" s="310">
        <v>2070104</v>
      </c>
      <c r="B236" s="321" t="s">
        <v>261</v>
      </c>
      <c r="C236" s="492">
        <v>4197</v>
      </c>
      <c r="D236" s="322"/>
      <c r="E236" s="322">
        <f t="shared" si="33"/>
        <v>4197</v>
      </c>
      <c r="F236" s="322"/>
      <c r="G236" s="322"/>
      <c r="H236" s="322">
        <f t="shared" si="34"/>
        <v>4197</v>
      </c>
      <c r="I236" s="322">
        <v>4461</v>
      </c>
      <c r="J236" s="494">
        <f t="shared" si="29"/>
        <v>0.0629020729092209</v>
      </c>
      <c r="K236" s="326"/>
      <c r="L236" s="316">
        <f t="shared" si="35"/>
        <v>7</v>
      </c>
      <c r="M236" s="478"/>
    </row>
    <row r="237" s="291" customFormat="1" ht="24.95" customHeight="1" spans="1:13">
      <c r="A237" s="310">
        <v>2070105</v>
      </c>
      <c r="B237" s="321" t="s">
        <v>262</v>
      </c>
      <c r="C237" s="492">
        <v>67</v>
      </c>
      <c r="D237" s="322"/>
      <c r="E237" s="322">
        <f t="shared" si="33"/>
        <v>67</v>
      </c>
      <c r="F237" s="322"/>
      <c r="G237" s="322"/>
      <c r="H237" s="322">
        <f t="shared" si="34"/>
        <v>67</v>
      </c>
      <c r="I237" s="322">
        <v>46</v>
      </c>
      <c r="J237" s="494">
        <f t="shared" si="29"/>
        <v>-0.313432835820896</v>
      </c>
      <c r="K237" s="326"/>
      <c r="L237" s="316">
        <f t="shared" si="35"/>
        <v>7</v>
      </c>
      <c r="M237" s="478"/>
    </row>
    <row r="238" s="291" customFormat="1" ht="24.95" customHeight="1" spans="1:13">
      <c r="A238" s="310">
        <v>2070107</v>
      </c>
      <c r="B238" s="321" t="s">
        <v>263</v>
      </c>
      <c r="C238" s="492">
        <v>100</v>
      </c>
      <c r="D238" s="322"/>
      <c r="E238" s="322">
        <f t="shared" si="33"/>
        <v>100</v>
      </c>
      <c r="F238" s="322"/>
      <c r="G238" s="322"/>
      <c r="H238" s="322">
        <f t="shared" si="34"/>
        <v>100</v>
      </c>
      <c r="I238" s="322">
        <v>100</v>
      </c>
      <c r="J238" s="494">
        <f t="shared" si="29"/>
        <v>0</v>
      </c>
      <c r="K238" s="326"/>
      <c r="L238" s="316">
        <f t="shared" si="35"/>
        <v>7</v>
      </c>
      <c r="M238" s="478"/>
    </row>
    <row r="239" s="291" customFormat="1" ht="24.95" customHeight="1" spans="1:13">
      <c r="A239" s="310">
        <v>2070108</v>
      </c>
      <c r="B239" s="321" t="s">
        <v>264</v>
      </c>
      <c r="C239" s="492">
        <v>1694</v>
      </c>
      <c r="D239" s="322"/>
      <c r="E239" s="322">
        <f t="shared" si="33"/>
        <v>1694</v>
      </c>
      <c r="F239" s="322"/>
      <c r="G239" s="322"/>
      <c r="H239" s="322">
        <f t="shared" si="34"/>
        <v>1694</v>
      </c>
      <c r="I239" s="322">
        <v>1987</v>
      </c>
      <c r="J239" s="494">
        <f t="shared" si="29"/>
        <v>0.172963400236128</v>
      </c>
      <c r="K239" s="326"/>
      <c r="L239" s="316">
        <f t="shared" si="35"/>
        <v>7</v>
      </c>
      <c r="M239" s="478"/>
    </row>
    <row r="240" s="291" customFormat="1" ht="24.95" customHeight="1" spans="1:13">
      <c r="A240" s="310">
        <v>2070109</v>
      </c>
      <c r="B240" s="321" t="s">
        <v>265</v>
      </c>
      <c r="C240" s="492">
        <v>1661</v>
      </c>
      <c r="D240" s="322"/>
      <c r="E240" s="322">
        <f t="shared" si="33"/>
        <v>1661</v>
      </c>
      <c r="F240" s="322"/>
      <c r="G240" s="322"/>
      <c r="H240" s="322">
        <f t="shared" si="34"/>
        <v>1661</v>
      </c>
      <c r="I240" s="322">
        <v>1743</v>
      </c>
      <c r="J240" s="494">
        <f t="shared" si="29"/>
        <v>0.0493678506923541</v>
      </c>
      <c r="K240" s="326"/>
      <c r="L240" s="316">
        <f t="shared" si="35"/>
        <v>7</v>
      </c>
      <c r="M240" s="478"/>
    </row>
    <row r="241" s="291" customFormat="1" ht="78" customHeight="1" spans="1:13">
      <c r="A241" s="310">
        <v>2070110</v>
      </c>
      <c r="B241" s="321" t="s">
        <v>266</v>
      </c>
      <c r="C241" s="492">
        <v>1110</v>
      </c>
      <c r="D241" s="322"/>
      <c r="E241" s="322">
        <f t="shared" si="33"/>
        <v>1110</v>
      </c>
      <c r="F241" s="322"/>
      <c r="G241" s="322"/>
      <c r="H241" s="322">
        <f t="shared" si="34"/>
        <v>1110</v>
      </c>
      <c r="I241" s="322">
        <v>695</v>
      </c>
      <c r="J241" s="494">
        <f t="shared" si="29"/>
        <v>-0.373873873873874</v>
      </c>
      <c r="K241" s="326" t="s">
        <v>267</v>
      </c>
      <c r="L241" s="316">
        <f t="shared" si="35"/>
        <v>7</v>
      </c>
      <c r="M241" s="478"/>
    </row>
    <row r="242" s="291" customFormat="1" ht="24.95" customHeight="1" spans="1:13">
      <c r="A242" s="310">
        <v>2070111</v>
      </c>
      <c r="B242" s="321" t="s">
        <v>268</v>
      </c>
      <c r="C242" s="492">
        <v>83</v>
      </c>
      <c r="D242" s="322"/>
      <c r="E242" s="322">
        <f t="shared" si="33"/>
        <v>83</v>
      </c>
      <c r="F242" s="322"/>
      <c r="G242" s="322"/>
      <c r="H242" s="322">
        <f t="shared" si="34"/>
        <v>83</v>
      </c>
      <c r="I242" s="322">
        <v>85</v>
      </c>
      <c r="J242" s="494">
        <f t="shared" si="29"/>
        <v>0.0240963855421688</v>
      </c>
      <c r="K242" s="326"/>
      <c r="L242" s="316">
        <f t="shared" si="35"/>
        <v>7</v>
      </c>
      <c r="M242" s="478"/>
    </row>
    <row r="243" s="291" customFormat="1" ht="24.95" customHeight="1" spans="1:13">
      <c r="A243" s="310">
        <v>2070112</v>
      </c>
      <c r="B243" s="321" t="s">
        <v>269</v>
      </c>
      <c r="C243" s="492">
        <v>438</v>
      </c>
      <c r="D243" s="322"/>
      <c r="E243" s="322">
        <f t="shared" si="33"/>
        <v>438</v>
      </c>
      <c r="F243" s="322"/>
      <c r="G243" s="322"/>
      <c r="H243" s="322">
        <f t="shared" si="34"/>
        <v>438</v>
      </c>
      <c r="I243" s="322">
        <v>420</v>
      </c>
      <c r="J243" s="494">
        <f t="shared" si="29"/>
        <v>-0.041095890410959</v>
      </c>
      <c r="K243" s="326"/>
      <c r="L243" s="316">
        <f t="shared" si="35"/>
        <v>7</v>
      </c>
      <c r="M243" s="478"/>
    </row>
    <row r="244" s="291" customFormat="1" ht="24.95" customHeight="1" spans="1:13">
      <c r="A244" s="310">
        <v>2070114</v>
      </c>
      <c r="B244" s="321" t="s">
        <v>270</v>
      </c>
      <c r="C244" s="492">
        <v>445</v>
      </c>
      <c r="D244" s="322"/>
      <c r="E244" s="322">
        <f t="shared" si="33"/>
        <v>445</v>
      </c>
      <c r="F244" s="322"/>
      <c r="G244" s="322"/>
      <c r="H244" s="322">
        <f t="shared" si="34"/>
        <v>445</v>
      </c>
      <c r="I244" s="322">
        <v>412</v>
      </c>
      <c r="J244" s="494">
        <f t="shared" si="29"/>
        <v>-0.0741573033707865</v>
      </c>
      <c r="K244" s="326"/>
      <c r="L244" s="316">
        <f t="shared" si="35"/>
        <v>7</v>
      </c>
      <c r="M244" s="478"/>
    </row>
    <row r="245" s="291" customFormat="1" ht="197.1" customHeight="1" spans="1:13">
      <c r="A245" s="310">
        <v>2070199</v>
      </c>
      <c r="B245" s="321" t="s">
        <v>271</v>
      </c>
      <c r="C245" s="492">
        <v>8188</v>
      </c>
      <c r="D245" s="322"/>
      <c r="E245" s="322">
        <f t="shared" si="33"/>
        <v>8188</v>
      </c>
      <c r="F245" s="322"/>
      <c r="G245" s="322"/>
      <c r="H245" s="322">
        <f t="shared" si="34"/>
        <v>8188</v>
      </c>
      <c r="I245" s="322">
        <v>19843</v>
      </c>
      <c r="J245" s="494">
        <f t="shared" si="29"/>
        <v>1.42342452369321</v>
      </c>
      <c r="K245" s="326" t="s">
        <v>272</v>
      </c>
      <c r="L245" s="316">
        <f t="shared" si="35"/>
        <v>7</v>
      </c>
      <c r="M245" s="478"/>
    </row>
    <row r="246" s="291" customFormat="1" ht="24.95" customHeight="1" spans="1:13">
      <c r="A246" s="310">
        <v>20702</v>
      </c>
      <c r="B246" s="317" t="s">
        <v>273</v>
      </c>
      <c r="C246" s="489">
        <v>974</v>
      </c>
      <c r="D246" s="490"/>
      <c r="E246" s="318">
        <f t="shared" si="33"/>
        <v>974</v>
      </c>
      <c r="F246" s="490"/>
      <c r="G246" s="490"/>
      <c r="H246" s="318">
        <f t="shared" si="34"/>
        <v>974</v>
      </c>
      <c r="I246" s="318">
        <f>SUM(I247:I249)</f>
        <v>1132</v>
      </c>
      <c r="J246" s="491">
        <f t="shared" si="29"/>
        <v>0.162217659137577</v>
      </c>
      <c r="K246" s="330"/>
      <c r="L246" s="316">
        <f t="shared" si="35"/>
        <v>5</v>
      </c>
      <c r="M246" s="478"/>
    </row>
    <row r="247" s="291" customFormat="1" ht="24.95" customHeight="1" spans="1:13">
      <c r="A247" s="310">
        <v>2070202</v>
      </c>
      <c r="B247" s="327" t="s">
        <v>50</v>
      </c>
      <c r="C247" s="492"/>
      <c r="D247" s="322"/>
      <c r="E247" s="322"/>
      <c r="F247" s="322"/>
      <c r="G247" s="322"/>
      <c r="H247" s="322"/>
      <c r="I247" s="322"/>
      <c r="J247" s="495">
        <v>0</v>
      </c>
      <c r="K247" s="326"/>
      <c r="L247" s="316">
        <f t="shared" si="35"/>
        <v>7</v>
      </c>
      <c r="M247" s="478"/>
    </row>
    <row r="248" s="291" customFormat="1" ht="69.95" customHeight="1" spans="1:13">
      <c r="A248" s="310">
        <v>2070204</v>
      </c>
      <c r="B248" s="321" t="s">
        <v>274</v>
      </c>
      <c r="C248" s="492">
        <v>377</v>
      </c>
      <c r="D248" s="322"/>
      <c r="E248" s="322">
        <f t="shared" ref="E248:E251" si="36">C248+D248</f>
        <v>377</v>
      </c>
      <c r="F248" s="322"/>
      <c r="G248" s="322"/>
      <c r="H248" s="322">
        <f t="shared" si="34"/>
        <v>377</v>
      </c>
      <c r="I248" s="322">
        <v>561</v>
      </c>
      <c r="J248" s="494">
        <f t="shared" si="29"/>
        <v>0.488063660477454</v>
      </c>
      <c r="K248" s="326" t="s">
        <v>275</v>
      </c>
      <c r="L248" s="316">
        <f t="shared" si="35"/>
        <v>7</v>
      </c>
      <c r="M248" s="478"/>
    </row>
    <row r="249" s="291" customFormat="1" ht="24.95" customHeight="1" spans="1:13">
      <c r="A249" s="310">
        <v>2070299</v>
      </c>
      <c r="B249" s="321" t="s">
        <v>276</v>
      </c>
      <c r="C249" s="492">
        <v>597</v>
      </c>
      <c r="D249" s="322"/>
      <c r="E249" s="322">
        <f t="shared" si="36"/>
        <v>597</v>
      </c>
      <c r="F249" s="322"/>
      <c r="G249" s="322"/>
      <c r="H249" s="322">
        <f t="shared" si="34"/>
        <v>597</v>
      </c>
      <c r="I249" s="322">
        <v>571</v>
      </c>
      <c r="J249" s="494">
        <f t="shared" si="29"/>
        <v>-0.0435510887772195</v>
      </c>
      <c r="K249" s="326"/>
      <c r="L249" s="316">
        <f t="shared" si="35"/>
        <v>7</v>
      </c>
      <c r="M249" s="478"/>
    </row>
    <row r="250" s="291" customFormat="1" ht="24.95" customHeight="1" spans="1:13">
      <c r="A250" s="310">
        <v>20703</v>
      </c>
      <c r="B250" s="317" t="s">
        <v>277</v>
      </c>
      <c r="C250" s="489">
        <v>10804</v>
      </c>
      <c r="D250" s="490"/>
      <c r="E250" s="318">
        <f t="shared" si="36"/>
        <v>10804</v>
      </c>
      <c r="F250" s="490"/>
      <c r="G250" s="490"/>
      <c r="H250" s="318">
        <f t="shared" si="34"/>
        <v>10804</v>
      </c>
      <c r="I250" s="318">
        <f>SUM(I251:I255)</f>
        <v>11165</v>
      </c>
      <c r="J250" s="491">
        <f t="shared" si="29"/>
        <v>0.0334135505368383</v>
      </c>
      <c r="K250" s="330"/>
      <c r="L250" s="316">
        <f t="shared" si="35"/>
        <v>5</v>
      </c>
      <c r="M250" s="478"/>
    </row>
    <row r="251" s="291" customFormat="1" ht="24.95" customHeight="1" spans="1:13">
      <c r="A251" s="310">
        <v>2070305</v>
      </c>
      <c r="B251" s="321" t="s">
        <v>278</v>
      </c>
      <c r="C251" s="492">
        <v>3398</v>
      </c>
      <c r="D251" s="322"/>
      <c r="E251" s="322">
        <f t="shared" si="36"/>
        <v>3398</v>
      </c>
      <c r="F251" s="322"/>
      <c r="G251" s="322"/>
      <c r="H251" s="322">
        <f t="shared" si="34"/>
        <v>3398</v>
      </c>
      <c r="I251" s="322">
        <v>3346</v>
      </c>
      <c r="J251" s="494">
        <f t="shared" si="29"/>
        <v>-0.0153031194820482</v>
      </c>
      <c r="K251" s="326"/>
      <c r="L251" s="316">
        <f t="shared" si="35"/>
        <v>7</v>
      </c>
      <c r="M251" s="478"/>
    </row>
    <row r="252" s="291" customFormat="1" ht="24.95" customHeight="1" spans="1:13">
      <c r="A252" s="310">
        <v>2070307</v>
      </c>
      <c r="B252" s="327" t="s">
        <v>279</v>
      </c>
      <c r="C252" s="492"/>
      <c r="D252" s="322"/>
      <c r="E252" s="322">
        <v>0</v>
      </c>
      <c r="F252" s="322"/>
      <c r="G252" s="322"/>
      <c r="H252" s="322">
        <f t="shared" si="34"/>
        <v>0</v>
      </c>
      <c r="I252" s="322">
        <v>9</v>
      </c>
      <c r="J252" s="495">
        <v>0</v>
      </c>
      <c r="K252" s="326" t="s">
        <v>280</v>
      </c>
      <c r="L252" s="316">
        <f t="shared" si="35"/>
        <v>7</v>
      </c>
      <c r="M252" s="478"/>
    </row>
    <row r="253" s="291" customFormat="1" ht="24.95" customHeight="1" spans="1:13">
      <c r="A253" s="310">
        <v>2070308</v>
      </c>
      <c r="B253" s="321" t="s">
        <v>281</v>
      </c>
      <c r="C253" s="492">
        <v>4119</v>
      </c>
      <c r="D253" s="322"/>
      <c r="E253" s="322">
        <f t="shared" ref="E253:E257" si="37">C253+D253</f>
        <v>4119</v>
      </c>
      <c r="F253" s="322"/>
      <c r="G253" s="322"/>
      <c r="H253" s="322">
        <f t="shared" si="34"/>
        <v>4119</v>
      </c>
      <c r="I253" s="322">
        <v>4233</v>
      </c>
      <c r="J253" s="494">
        <f t="shared" si="29"/>
        <v>0.0276766205389658</v>
      </c>
      <c r="K253" s="326"/>
      <c r="L253" s="316">
        <f t="shared" si="35"/>
        <v>7</v>
      </c>
      <c r="M253" s="478"/>
    </row>
    <row r="254" s="291" customFormat="1" ht="24.95" customHeight="1" spans="1:13">
      <c r="A254" s="310">
        <v>2070309</v>
      </c>
      <c r="B254" s="327" t="s">
        <v>282</v>
      </c>
      <c r="C254" s="492"/>
      <c r="D254" s="322"/>
      <c r="E254" s="322">
        <v>0</v>
      </c>
      <c r="F254" s="322"/>
      <c r="G254" s="322"/>
      <c r="H254" s="322">
        <f t="shared" si="34"/>
        <v>0</v>
      </c>
      <c r="I254" s="322"/>
      <c r="J254" s="495">
        <v>0</v>
      </c>
      <c r="K254" s="326"/>
      <c r="L254" s="316">
        <f t="shared" si="35"/>
        <v>7</v>
      </c>
      <c r="M254" s="478"/>
    </row>
    <row r="255" s="291" customFormat="1" ht="24.95" customHeight="1" spans="1:13">
      <c r="A255" s="310">
        <v>2070399</v>
      </c>
      <c r="B255" s="321" t="s">
        <v>283</v>
      </c>
      <c r="C255" s="492">
        <v>3287</v>
      </c>
      <c r="D255" s="322"/>
      <c r="E255" s="322">
        <f t="shared" si="37"/>
        <v>3287</v>
      </c>
      <c r="F255" s="322"/>
      <c r="G255" s="322"/>
      <c r="H255" s="322">
        <f t="shared" si="34"/>
        <v>3287</v>
      </c>
      <c r="I255" s="322">
        <v>3577</v>
      </c>
      <c r="J255" s="494">
        <f t="shared" si="29"/>
        <v>0.0882263462123516</v>
      </c>
      <c r="K255" s="326"/>
      <c r="L255" s="316">
        <f t="shared" si="35"/>
        <v>7</v>
      </c>
      <c r="M255" s="478"/>
    </row>
    <row r="256" s="291" customFormat="1" ht="24.95" customHeight="1" spans="1:13">
      <c r="A256" s="310">
        <v>20706</v>
      </c>
      <c r="B256" s="317" t="s">
        <v>284</v>
      </c>
      <c r="C256" s="499">
        <v>1320</v>
      </c>
      <c r="D256" s="318"/>
      <c r="E256" s="318">
        <f t="shared" si="37"/>
        <v>1320</v>
      </c>
      <c r="F256" s="318"/>
      <c r="G256" s="318"/>
      <c r="H256" s="318">
        <f t="shared" si="34"/>
        <v>1320</v>
      </c>
      <c r="I256" s="318">
        <f>SUM(I257:I258)</f>
        <v>1337</v>
      </c>
      <c r="J256" s="491">
        <f t="shared" si="29"/>
        <v>0.0128787878787879</v>
      </c>
      <c r="K256" s="330"/>
      <c r="L256" s="316">
        <f t="shared" si="35"/>
        <v>5</v>
      </c>
      <c r="M256" s="478"/>
    </row>
    <row r="257" s="291" customFormat="1" ht="24.95" customHeight="1" spans="1:13">
      <c r="A257" s="310">
        <v>2070604</v>
      </c>
      <c r="B257" s="321" t="s">
        <v>285</v>
      </c>
      <c r="C257" s="492">
        <v>1320</v>
      </c>
      <c r="D257" s="322"/>
      <c r="E257" s="322">
        <f t="shared" si="37"/>
        <v>1320</v>
      </c>
      <c r="F257" s="322"/>
      <c r="G257" s="322"/>
      <c r="H257" s="322">
        <f t="shared" si="34"/>
        <v>1320</v>
      </c>
      <c r="I257" s="322">
        <v>1320</v>
      </c>
      <c r="J257" s="494">
        <f t="shared" si="29"/>
        <v>0</v>
      </c>
      <c r="K257" s="326"/>
      <c r="L257" s="316">
        <f t="shared" si="35"/>
        <v>7</v>
      </c>
      <c r="M257" s="478"/>
    </row>
    <row r="258" s="291" customFormat="1" ht="24.95" customHeight="1" spans="1:13">
      <c r="A258" s="310">
        <v>2070699</v>
      </c>
      <c r="B258" s="321" t="s">
        <v>286</v>
      </c>
      <c r="C258" s="492"/>
      <c r="D258" s="322"/>
      <c r="E258" s="322"/>
      <c r="F258" s="322"/>
      <c r="G258" s="322">
        <v>20</v>
      </c>
      <c r="H258" s="322"/>
      <c r="I258" s="322">
        <v>17</v>
      </c>
      <c r="J258" s="495">
        <v>0</v>
      </c>
      <c r="K258" s="326"/>
      <c r="L258" s="316"/>
      <c r="M258" s="478"/>
    </row>
    <row r="259" s="291" customFormat="1" ht="45.95" customHeight="1" spans="1:13">
      <c r="A259" s="310">
        <v>20799</v>
      </c>
      <c r="B259" s="317" t="s">
        <v>287</v>
      </c>
      <c r="C259" s="489">
        <v>16471</v>
      </c>
      <c r="D259" s="490"/>
      <c r="E259" s="318">
        <f>C259+D259</f>
        <v>16471</v>
      </c>
      <c r="F259" s="490"/>
      <c r="G259" s="490"/>
      <c r="H259" s="318">
        <f t="shared" ref="H259:H280" si="38">E259-F259-G259</f>
        <v>16471</v>
      </c>
      <c r="I259" s="318">
        <f>SUM(I260:I261)</f>
        <v>16885</v>
      </c>
      <c r="J259" s="491">
        <f t="shared" ref="J259:J322" si="39">I259/H259-1</f>
        <v>0.0251350859085666</v>
      </c>
      <c r="K259" s="330"/>
      <c r="L259" s="316">
        <f t="shared" ref="L259:L280" si="40">LEN(A259)</f>
        <v>5</v>
      </c>
      <c r="M259" s="478"/>
    </row>
    <row r="260" s="291" customFormat="1" ht="24.95" customHeight="1" spans="1:13">
      <c r="A260" s="310">
        <v>2079902</v>
      </c>
      <c r="B260" s="327" t="s">
        <v>288</v>
      </c>
      <c r="C260" s="500"/>
      <c r="D260" s="501"/>
      <c r="E260" s="501">
        <v>0</v>
      </c>
      <c r="F260" s="501"/>
      <c r="G260" s="501"/>
      <c r="H260" s="322">
        <f t="shared" si="38"/>
        <v>0</v>
      </c>
      <c r="I260" s="322">
        <v>50</v>
      </c>
      <c r="J260" s="495">
        <v>0</v>
      </c>
      <c r="K260" s="338"/>
      <c r="L260" s="316">
        <f t="shared" si="40"/>
        <v>7</v>
      </c>
      <c r="M260" s="478"/>
    </row>
    <row r="261" s="291" customFormat="1" ht="24.95" customHeight="1" spans="1:13">
      <c r="A261" s="310">
        <v>2079999</v>
      </c>
      <c r="B261" s="321" t="s">
        <v>289</v>
      </c>
      <c r="C261" s="492">
        <v>16471</v>
      </c>
      <c r="D261" s="322"/>
      <c r="E261" s="322">
        <f t="shared" ref="E261:E274" si="41">C261+D261</f>
        <v>16471</v>
      </c>
      <c r="F261" s="322"/>
      <c r="G261" s="322"/>
      <c r="H261" s="322">
        <f t="shared" si="38"/>
        <v>16471</v>
      </c>
      <c r="I261" s="322">
        <v>16835</v>
      </c>
      <c r="J261" s="494">
        <f t="shared" si="39"/>
        <v>0.0220994475138121</v>
      </c>
      <c r="K261" s="326"/>
      <c r="L261" s="316">
        <f t="shared" si="40"/>
        <v>7</v>
      </c>
      <c r="M261" s="478"/>
    </row>
    <row r="262" s="291" customFormat="1" ht="42.95" customHeight="1" spans="1:13">
      <c r="A262" s="310">
        <v>208</v>
      </c>
      <c r="B262" s="311" t="s">
        <v>290</v>
      </c>
      <c r="C262" s="487">
        <v>188204</v>
      </c>
      <c r="D262" s="313"/>
      <c r="E262" s="312">
        <f t="shared" si="41"/>
        <v>188204</v>
      </c>
      <c r="F262" s="313"/>
      <c r="G262" s="313"/>
      <c r="H262" s="312">
        <f t="shared" si="38"/>
        <v>188204</v>
      </c>
      <c r="I262" s="312">
        <f>I263+I272+I281+I289+I291+I295+I301+I306+I311+I318+I321+I323+I325+I327</f>
        <v>192652</v>
      </c>
      <c r="J262" s="488">
        <f t="shared" si="39"/>
        <v>0.0236339291407197</v>
      </c>
      <c r="K262" s="313"/>
      <c r="L262" s="316">
        <f t="shared" si="40"/>
        <v>3</v>
      </c>
      <c r="M262" s="478"/>
    </row>
    <row r="263" s="291" customFormat="1" ht="42.95" customHeight="1" spans="1:13">
      <c r="A263" s="310">
        <v>20801</v>
      </c>
      <c r="B263" s="317" t="s">
        <v>291</v>
      </c>
      <c r="C263" s="489">
        <v>10215</v>
      </c>
      <c r="D263" s="490"/>
      <c r="E263" s="318">
        <f t="shared" si="41"/>
        <v>10215</v>
      </c>
      <c r="F263" s="490"/>
      <c r="G263" s="490"/>
      <c r="H263" s="318">
        <f t="shared" si="38"/>
        <v>10215</v>
      </c>
      <c r="I263" s="318">
        <f>SUM(I264:I271)</f>
        <v>10829</v>
      </c>
      <c r="J263" s="491">
        <f t="shared" si="39"/>
        <v>0.0601076847772883</v>
      </c>
      <c r="K263" s="330"/>
      <c r="L263" s="316">
        <f t="shared" si="40"/>
        <v>5</v>
      </c>
      <c r="M263" s="478"/>
    </row>
    <row r="264" s="291" customFormat="1" ht="24.95" customHeight="1" spans="1:13">
      <c r="A264" s="310">
        <v>2080101</v>
      </c>
      <c r="B264" s="321" t="s">
        <v>49</v>
      </c>
      <c r="C264" s="492">
        <v>4649</v>
      </c>
      <c r="D264" s="322"/>
      <c r="E264" s="322">
        <f t="shared" si="41"/>
        <v>4649</v>
      </c>
      <c r="F264" s="322"/>
      <c r="G264" s="322"/>
      <c r="H264" s="322">
        <f t="shared" si="38"/>
        <v>4649</v>
      </c>
      <c r="I264" s="322">
        <v>5372</v>
      </c>
      <c r="J264" s="494">
        <f t="shared" si="39"/>
        <v>0.155517315551732</v>
      </c>
      <c r="K264" s="326"/>
      <c r="L264" s="316">
        <f t="shared" si="40"/>
        <v>7</v>
      </c>
      <c r="M264" s="478"/>
    </row>
    <row r="265" s="291" customFormat="1" ht="24.95" customHeight="1" spans="1:13">
      <c r="A265" s="310">
        <v>2080102</v>
      </c>
      <c r="B265" s="321" t="s">
        <v>50</v>
      </c>
      <c r="C265" s="492">
        <v>420</v>
      </c>
      <c r="D265" s="322"/>
      <c r="E265" s="322">
        <f t="shared" si="41"/>
        <v>420</v>
      </c>
      <c r="F265" s="322"/>
      <c r="G265" s="322"/>
      <c r="H265" s="322">
        <f t="shared" si="38"/>
        <v>420</v>
      </c>
      <c r="I265" s="322">
        <v>540</v>
      </c>
      <c r="J265" s="494">
        <f t="shared" si="39"/>
        <v>0.285714285714286</v>
      </c>
      <c r="K265" s="326"/>
      <c r="L265" s="316">
        <f t="shared" si="40"/>
        <v>7</v>
      </c>
      <c r="M265" s="478"/>
    </row>
    <row r="266" s="291" customFormat="1" ht="24.95" customHeight="1" spans="1:13">
      <c r="A266" s="310">
        <v>2080105</v>
      </c>
      <c r="B266" s="321" t="s">
        <v>292</v>
      </c>
      <c r="C266" s="492">
        <v>664</v>
      </c>
      <c r="D266" s="322"/>
      <c r="E266" s="322">
        <f t="shared" si="41"/>
        <v>664</v>
      </c>
      <c r="F266" s="322"/>
      <c r="G266" s="322"/>
      <c r="H266" s="322">
        <f t="shared" si="38"/>
        <v>664</v>
      </c>
      <c r="I266" s="322">
        <v>671</v>
      </c>
      <c r="J266" s="494">
        <f t="shared" si="39"/>
        <v>0.0105421686746987</v>
      </c>
      <c r="K266" s="326"/>
      <c r="L266" s="316">
        <f t="shared" si="40"/>
        <v>7</v>
      </c>
      <c r="M266" s="478"/>
    </row>
    <row r="267" s="291" customFormat="1" ht="24.95" customHeight="1" spans="1:13">
      <c r="A267" s="310">
        <v>2080106</v>
      </c>
      <c r="B267" s="321" t="s">
        <v>293</v>
      </c>
      <c r="C267" s="492">
        <v>1578</v>
      </c>
      <c r="D267" s="322"/>
      <c r="E267" s="322">
        <f t="shared" si="41"/>
        <v>1578</v>
      </c>
      <c r="F267" s="322"/>
      <c r="G267" s="322"/>
      <c r="H267" s="322">
        <f t="shared" si="38"/>
        <v>1578</v>
      </c>
      <c r="I267" s="322">
        <v>1607</v>
      </c>
      <c r="J267" s="494">
        <f t="shared" si="39"/>
        <v>0.0183776932826363</v>
      </c>
      <c r="K267" s="326"/>
      <c r="L267" s="316">
        <f t="shared" si="40"/>
        <v>7</v>
      </c>
      <c r="M267" s="478"/>
    </row>
    <row r="268" s="291" customFormat="1" ht="54.95" customHeight="1" spans="1:13">
      <c r="A268" s="310">
        <v>2080110</v>
      </c>
      <c r="B268" s="321" t="s">
        <v>294</v>
      </c>
      <c r="C268" s="492">
        <v>365</v>
      </c>
      <c r="D268" s="322"/>
      <c r="E268" s="322">
        <f t="shared" si="41"/>
        <v>365</v>
      </c>
      <c r="F268" s="322"/>
      <c r="G268" s="322"/>
      <c r="H268" s="322">
        <f t="shared" si="38"/>
        <v>365</v>
      </c>
      <c r="I268" s="322">
        <v>161</v>
      </c>
      <c r="J268" s="494">
        <f t="shared" si="39"/>
        <v>-0.558904109589041</v>
      </c>
      <c r="K268" s="326" t="s">
        <v>295</v>
      </c>
      <c r="L268" s="316">
        <f t="shared" si="40"/>
        <v>7</v>
      </c>
      <c r="M268" s="478"/>
    </row>
    <row r="269" s="291" customFormat="1" ht="39" customHeight="1" spans="1:13">
      <c r="A269" s="310">
        <v>2080111</v>
      </c>
      <c r="B269" s="321" t="s">
        <v>296</v>
      </c>
      <c r="C269" s="492">
        <v>569</v>
      </c>
      <c r="D269" s="322"/>
      <c r="E269" s="322">
        <f t="shared" si="41"/>
        <v>569</v>
      </c>
      <c r="F269" s="322"/>
      <c r="G269" s="322"/>
      <c r="H269" s="322">
        <f t="shared" si="38"/>
        <v>569</v>
      </c>
      <c r="I269" s="322">
        <v>587</v>
      </c>
      <c r="J269" s="494">
        <f t="shared" si="39"/>
        <v>0.031634446397188</v>
      </c>
      <c r="K269" s="326"/>
      <c r="L269" s="316">
        <f t="shared" si="40"/>
        <v>7</v>
      </c>
      <c r="M269" s="478"/>
    </row>
    <row r="270" s="291" customFormat="1" ht="24.95" customHeight="1" spans="1:13">
      <c r="A270" s="310">
        <v>2080112</v>
      </c>
      <c r="B270" s="321" t="s">
        <v>297</v>
      </c>
      <c r="C270" s="492">
        <v>971</v>
      </c>
      <c r="D270" s="322"/>
      <c r="E270" s="322">
        <f t="shared" si="41"/>
        <v>971</v>
      </c>
      <c r="F270" s="322"/>
      <c r="G270" s="322"/>
      <c r="H270" s="322">
        <f t="shared" si="38"/>
        <v>971</v>
      </c>
      <c r="I270" s="322">
        <v>832</v>
      </c>
      <c r="J270" s="494">
        <f t="shared" si="39"/>
        <v>-0.143151390319258</v>
      </c>
      <c r="K270" s="326"/>
      <c r="L270" s="316">
        <f t="shared" si="40"/>
        <v>7</v>
      </c>
      <c r="M270" s="478"/>
    </row>
    <row r="271" s="291" customFormat="1" ht="50.1" customHeight="1" spans="1:13">
      <c r="A271" s="310">
        <v>2080199</v>
      </c>
      <c r="B271" s="321" t="s">
        <v>298</v>
      </c>
      <c r="C271" s="492">
        <v>999</v>
      </c>
      <c r="D271" s="322"/>
      <c r="E271" s="322">
        <f t="shared" si="41"/>
        <v>999</v>
      </c>
      <c r="F271" s="322"/>
      <c r="G271" s="322"/>
      <c r="H271" s="322">
        <f t="shared" si="38"/>
        <v>999</v>
      </c>
      <c r="I271" s="322">
        <v>1059</v>
      </c>
      <c r="J271" s="494">
        <f t="shared" si="39"/>
        <v>0.06006006006006</v>
      </c>
      <c r="K271" s="326"/>
      <c r="L271" s="316">
        <f t="shared" si="40"/>
        <v>7</v>
      </c>
      <c r="M271" s="478"/>
    </row>
    <row r="272" s="291" customFormat="1" ht="24.95" customHeight="1" spans="1:13">
      <c r="A272" s="310">
        <v>20802</v>
      </c>
      <c r="B272" s="317" t="s">
        <v>299</v>
      </c>
      <c r="C272" s="489">
        <v>12228</v>
      </c>
      <c r="D272" s="490"/>
      <c r="E272" s="318">
        <f t="shared" si="41"/>
        <v>12228</v>
      </c>
      <c r="F272" s="490"/>
      <c r="G272" s="490"/>
      <c r="H272" s="318">
        <f t="shared" si="38"/>
        <v>12228</v>
      </c>
      <c r="I272" s="318">
        <f>SUM(I273:I280)</f>
        <v>12264</v>
      </c>
      <c r="J272" s="491">
        <f t="shared" si="39"/>
        <v>0.00294406280667325</v>
      </c>
      <c r="K272" s="330"/>
      <c r="L272" s="316">
        <f t="shared" si="40"/>
        <v>5</v>
      </c>
      <c r="M272" s="478"/>
    </row>
    <row r="273" s="291" customFormat="1" ht="24.95" customHeight="1" spans="1:13">
      <c r="A273" s="310">
        <v>2080201</v>
      </c>
      <c r="B273" s="321" t="s">
        <v>49</v>
      </c>
      <c r="C273" s="492">
        <v>1303</v>
      </c>
      <c r="D273" s="322"/>
      <c r="E273" s="322">
        <f t="shared" si="41"/>
        <v>1303</v>
      </c>
      <c r="F273" s="322"/>
      <c r="G273" s="322"/>
      <c r="H273" s="322">
        <f t="shared" si="38"/>
        <v>1303</v>
      </c>
      <c r="I273" s="322">
        <v>1490</v>
      </c>
      <c r="J273" s="494">
        <f t="shared" si="39"/>
        <v>0.143514965464313</v>
      </c>
      <c r="K273" s="326"/>
      <c r="L273" s="316">
        <f t="shared" si="40"/>
        <v>7</v>
      </c>
      <c r="M273" s="478"/>
    </row>
    <row r="274" s="291" customFormat="1" ht="24.95" customHeight="1" spans="1:13">
      <c r="A274" s="310">
        <v>2080202</v>
      </c>
      <c r="B274" s="321" t="s">
        <v>50</v>
      </c>
      <c r="C274" s="492">
        <v>288</v>
      </c>
      <c r="D274" s="322"/>
      <c r="E274" s="322">
        <f t="shared" si="41"/>
        <v>288</v>
      </c>
      <c r="F274" s="322"/>
      <c r="G274" s="322"/>
      <c r="H274" s="322">
        <f t="shared" si="38"/>
        <v>288</v>
      </c>
      <c r="I274" s="322">
        <v>317</v>
      </c>
      <c r="J274" s="494">
        <f t="shared" si="39"/>
        <v>0.100694444444444</v>
      </c>
      <c r="K274" s="326"/>
      <c r="L274" s="316">
        <f t="shared" si="40"/>
        <v>7</v>
      </c>
      <c r="M274" s="478"/>
    </row>
    <row r="275" s="291" customFormat="1" ht="24.95" customHeight="1" spans="1:13">
      <c r="A275" s="310">
        <v>2080204</v>
      </c>
      <c r="B275" s="327" t="s">
        <v>300</v>
      </c>
      <c r="C275" s="492"/>
      <c r="D275" s="322"/>
      <c r="E275" s="322">
        <v>0</v>
      </c>
      <c r="F275" s="322"/>
      <c r="G275" s="322"/>
      <c r="H275" s="322"/>
      <c r="I275" s="322"/>
      <c r="J275" s="495">
        <v>0</v>
      </c>
      <c r="K275" s="326"/>
      <c r="L275" s="316">
        <f t="shared" si="40"/>
        <v>7</v>
      </c>
      <c r="M275" s="478"/>
    </row>
    <row r="276" s="291" customFormat="1" ht="24.95" customHeight="1" spans="1:13">
      <c r="A276" s="310">
        <v>2080205</v>
      </c>
      <c r="B276" s="327" t="s">
        <v>301</v>
      </c>
      <c r="C276" s="492"/>
      <c r="D276" s="322"/>
      <c r="E276" s="322">
        <v>0</v>
      </c>
      <c r="F276" s="322"/>
      <c r="G276" s="322"/>
      <c r="H276" s="322"/>
      <c r="I276" s="322"/>
      <c r="J276" s="495">
        <v>0</v>
      </c>
      <c r="K276" s="326"/>
      <c r="L276" s="316">
        <f t="shared" si="40"/>
        <v>7</v>
      </c>
      <c r="M276" s="478"/>
    </row>
    <row r="277" s="291" customFormat="1" ht="24.95" customHeight="1" spans="1:13">
      <c r="A277" s="310">
        <v>2080206</v>
      </c>
      <c r="B277" s="321" t="s">
        <v>302</v>
      </c>
      <c r="C277" s="492">
        <v>159</v>
      </c>
      <c r="D277" s="322"/>
      <c r="E277" s="322">
        <f t="shared" ref="E277:E295" si="42">C277+D277</f>
        <v>159</v>
      </c>
      <c r="F277" s="322"/>
      <c r="G277" s="322"/>
      <c r="H277" s="322">
        <f t="shared" si="38"/>
        <v>159</v>
      </c>
      <c r="I277" s="322">
        <v>119</v>
      </c>
      <c r="J277" s="494">
        <f t="shared" si="39"/>
        <v>-0.251572327044025</v>
      </c>
      <c r="K277" s="326"/>
      <c r="L277" s="316">
        <f t="shared" si="40"/>
        <v>7</v>
      </c>
      <c r="M277" s="478"/>
    </row>
    <row r="278" s="291" customFormat="1" ht="24.95" customHeight="1" spans="1:13">
      <c r="A278" s="310">
        <v>2080207</v>
      </c>
      <c r="B278" s="321" t="s">
        <v>303</v>
      </c>
      <c r="C278" s="492">
        <v>23</v>
      </c>
      <c r="D278" s="322"/>
      <c r="E278" s="322">
        <f t="shared" si="42"/>
        <v>23</v>
      </c>
      <c r="F278" s="322"/>
      <c r="G278" s="322"/>
      <c r="H278" s="322">
        <f t="shared" si="38"/>
        <v>23</v>
      </c>
      <c r="I278" s="322">
        <v>23</v>
      </c>
      <c r="J278" s="494">
        <f t="shared" si="39"/>
        <v>0</v>
      </c>
      <c r="K278" s="326"/>
      <c r="L278" s="316">
        <f t="shared" si="40"/>
        <v>7</v>
      </c>
      <c r="M278" s="478"/>
    </row>
    <row r="279" s="291" customFormat="1" ht="35.25" customHeight="1" spans="1:13">
      <c r="A279" s="310">
        <v>2080208</v>
      </c>
      <c r="B279" s="321" t="s">
        <v>304</v>
      </c>
      <c r="C279" s="492">
        <v>138</v>
      </c>
      <c r="D279" s="322"/>
      <c r="E279" s="322">
        <f t="shared" si="42"/>
        <v>138</v>
      </c>
      <c r="F279" s="322"/>
      <c r="G279" s="322"/>
      <c r="H279" s="322">
        <f t="shared" si="38"/>
        <v>138</v>
      </c>
      <c r="I279" s="322">
        <v>46</v>
      </c>
      <c r="J279" s="494">
        <f t="shared" si="39"/>
        <v>-0.666666666666667</v>
      </c>
      <c r="K279" s="326" t="s">
        <v>305</v>
      </c>
      <c r="L279" s="316">
        <f t="shared" si="40"/>
        <v>7</v>
      </c>
      <c r="M279" s="478"/>
    </row>
    <row r="280" s="291" customFormat="1" ht="24.95" customHeight="1" spans="1:13">
      <c r="A280" s="310">
        <v>2080299</v>
      </c>
      <c r="B280" s="321" t="s">
        <v>306</v>
      </c>
      <c r="C280" s="492">
        <v>10317</v>
      </c>
      <c r="D280" s="322"/>
      <c r="E280" s="322">
        <f t="shared" si="42"/>
        <v>10317</v>
      </c>
      <c r="F280" s="322"/>
      <c r="G280" s="322"/>
      <c r="H280" s="322">
        <f t="shared" si="38"/>
        <v>10317</v>
      </c>
      <c r="I280" s="322">
        <v>10269</v>
      </c>
      <c r="J280" s="494">
        <f t="shared" si="39"/>
        <v>-0.00465251526606569</v>
      </c>
      <c r="K280" s="326"/>
      <c r="L280" s="316">
        <f t="shared" si="40"/>
        <v>7</v>
      </c>
      <c r="M280" s="478"/>
    </row>
    <row r="281" s="291" customFormat="1" ht="42" customHeight="1" spans="1:13">
      <c r="A281" s="310">
        <v>20805</v>
      </c>
      <c r="B281" s="317" t="s">
        <v>307</v>
      </c>
      <c r="C281" s="489">
        <v>112531</v>
      </c>
      <c r="D281" s="490"/>
      <c r="E281" s="318">
        <f t="shared" si="42"/>
        <v>112531</v>
      </c>
      <c r="F281" s="490"/>
      <c r="G281" s="490"/>
      <c r="H281" s="318">
        <f t="shared" ref="H281:H344" si="43">E281-F281-G281</f>
        <v>112531</v>
      </c>
      <c r="I281" s="318">
        <f>SUM(I282:I288)</f>
        <v>105063</v>
      </c>
      <c r="J281" s="491">
        <f t="shared" si="39"/>
        <v>-0.0663639352711697</v>
      </c>
      <c r="K281" s="330"/>
      <c r="L281" s="316">
        <f t="shared" ref="L281:L344" si="44">LEN(A281)</f>
        <v>5</v>
      </c>
      <c r="M281" s="478"/>
    </row>
    <row r="282" s="291" customFormat="1" ht="39" customHeight="1" spans="1:13">
      <c r="A282" s="310">
        <v>2080501</v>
      </c>
      <c r="B282" s="321" t="s">
        <v>308</v>
      </c>
      <c r="C282" s="492">
        <v>14171</v>
      </c>
      <c r="D282" s="322"/>
      <c r="E282" s="322">
        <f t="shared" si="42"/>
        <v>14171</v>
      </c>
      <c r="F282" s="322"/>
      <c r="G282" s="322"/>
      <c r="H282" s="322">
        <f t="shared" si="43"/>
        <v>14171</v>
      </c>
      <c r="I282" s="322">
        <v>11215</v>
      </c>
      <c r="J282" s="494">
        <f t="shared" si="39"/>
        <v>-0.208595017994496</v>
      </c>
      <c r="K282" s="326"/>
      <c r="L282" s="316">
        <f t="shared" si="44"/>
        <v>7</v>
      </c>
      <c r="M282" s="478"/>
    </row>
    <row r="283" s="291" customFormat="1" ht="24.95" customHeight="1" spans="1:13">
      <c r="A283" s="310">
        <v>2080502</v>
      </c>
      <c r="B283" s="321" t="s">
        <v>309</v>
      </c>
      <c r="C283" s="492">
        <v>12755</v>
      </c>
      <c r="D283" s="322"/>
      <c r="E283" s="322">
        <f t="shared" si="42"/>
        <v>12755</v>
      </c>
      <c r="F283" s="322"/>
      <c r="G283" s="322"/>
      <c r="H283" s="322">
        <f t="shared" si="43"/>
        <v>12755</v>
      </c>
      <c r="I283" s="322">
        <v>8735</v>
      </c>
      <c r="J283" s="494">
        <f t="shared" si="39"/>
        <v>-0.315170521364171</v>
      </c>
      <c r="K283" s="326"/>
      <c r="L283" s="316">
        <f t="shared" si="44"/>
        <v>7</v>
      </c>
      <c r="M283" s="478"/>
    </row>
    <row r="284" s="291" customFormat="1" ht="38.1" customHeight="1" spans="1:13">
      <c r="A284" s="310">
        <v>2080503</v>
      </c>
      <c r="B284" s="321" t="s">
        <v>310</v>
      </c>
      <c r="C284" s="492">
        <v>1576</v>
      </c>
      <c r="D284" s="322"/>
      <c r="E284" s="322">
        <f t="shared" si="42"/>
        <v>1576</v>
      </c>
      <c r="F284" s="322"/>
      <c r="G284" s="322"/>
      <c r="H284" s="322">
        <f t="shared" si="43"/>
        <v>1576</v>
      </c>
      <c r="I284" s="322">
        <f>1548-1</f>
        <v>1547</v>
      </c>
      <c r="J284" s="494">
        <f t="shared" si="39"/>
        <v>-0.0184010152284264</v>
      </c>
      <c r="K284" s="326"/>
      <c r="L284" s="316">
        <f t="shared" si="44"/>
        <v>7</v>
      </c>
      <c r="M284" s="478"/>
    </row>
    <row r="285" s="291" customFormat="1" ht="38.1" customHeight="1" spans="1:13">
      <c r="A285" s="310">
        <v>2080505</v>
      </c>
      <c r="B285" s="321" t="s">
        <v>311</v>
      </c>
      <c r="C285" s="492">
        <v>58140</v>
      </c>
      <c r="D285" s="322"/>
      <c r="E285" s="322">
        <f t="shared" si="42"/>
        <v>58140</v>
      </c>
      <c r="F285" s="322"/>
      <c r="G285" s="322"/>
      <c r="H285" s="322">
        <f t="shared" si="43"/>
        <v>58140</v>
      </c>
      <c r="I285" s="322">
        <v>57642</v>
      </c>
      <c r="J285" s="494">
        <f t="shared" si="39"/>
        <v>-0.00856553147574823</v>
      </c>
      <c r="K285" s="326"/>
      <c r="L285" s="316">
        <f t="shared" si="44"/>
        <v>7</v>
      </c>
      <c r="M285" s="478"/>
    </row>
    <row r="286" s="291" customFormat="1" ht="38.1" customHeight="1" spans="1:13">
      <c r="A286" s="310">
        <v>2080506</v>
      </c>
      <c r="B286" s="321" t="s">
        <v>312</v>
      </c>
      <c r="C286" s="492">
        <v>24031</v>
      </c>
      <c r="D286" s="322"/>
      <c r="E286" s="322">
        <f t="shared" si="42"/>
        <v>24031</v>
      </c>
      <c r="F286" s="322"/>
      <c r="G286" s="322"/>
      <c r="H286" s="322">
        <f t="shared" si="43"/>
        <v>24031</v>
      </c>
      <c r="I286" s="322">
        <v>24490</v>
      </c>
      <c r="J286" s="494">
        <f t="shared" si="39"/>
        <v>0.0191003287420415</v>
      </c>
      <c r="K286" s="326"/>
      <c r="L286" s="316">
        <f t="shared" si="44"/>
        <v>7</v>
      </c>
      <c r="M286" s="478"/>
    </row>
    <row r="287" s="291" customFormat="1" ht="45" customHeight="1" spans="1:13">
      <c r="A287" s="310">
        <v>2080507</v>
      </c>
      <c r="B287" s="321" t="s">
        <v>313</v>
      </c>
      <c r="C287" s="492">
        <v>744</v>
      </c>
      <c r="D287" s="322"/>
      <c r="E287" s="322">
        <f t="shared" si="42"/>
        <v>744</v>
      </c>
      <c r="F287" s="322"/>
      <c r="G287" s="322"/>
      <c r="H287" s="322">
        <f t="shared" si="43"/>
        <v>744</v>
      </c>
      <c r="I287" s="322">
        <v>20</v>
      </c>
      <c r="J287" s="494">
        <f t="shared" si="39"/>
        <v>-0.973118279569892</v>
      </c>
      <c r="K287" s="326" t="s">
        <v>314</v>
      </c>
      <c r="L287" s="316">
        <f t="shared" si="44"/>
        <v>7</v>
      </c>
      <c r="M287" s="478"/>
    </row>
    <row r="288" s="291" customFormat="1" ht="45" customHeight="1" spans="1:13">
      <c r="A288" s="310">
        <v>2080599</v>
      </c>
      <c r="B288" s="321" t="s">
        <v>315</v>
      </c>
      <c r="C288" s="492">
        <v>1114</v>
      </c>
      <c r="D288" s="322"/>
      <c r="E288" s="322">
        <f t="shared" si="42"/>
        <v>1114</v>
      </c>
      <c r="F288" s="322"/>
      <c r="G288" s="322"/>
      <c r="H288" s="322">
        <f t="shared" si="43"/>
        <v>1114</v>
      </c>
      <c r="I288" s="322">
        <v>1414</v>
      </c>
      <c r="J288" s="494">
        <f t="shared" si="39"/>
        <v>0.269299820466786</v>
      </c>
      <c r="K288" s="326"/>
      <c r="L288" s="316">
        <f t="shared" si="44"/>
        <v>7</v>
      </c>
      <c r="M288" s="478"/>
    </row>
    <row r="289" s="291" customFormat="1" ht="24.95" customHeight="1" spans="1:13">
      <c r="A289" s="310">
        <v>20806</v>
      </c>
      <c r="B289" s="317" t="s">
        <v>316</v>
      </c>
      <c r="C289" s="489">
        <v>1200</v>
      </c>
      <c r="D289" s="490"/>
      <c r="E289" s="318">
        <f t="shared" si="42"/>
        <v>1200</v>
      </c>
      <c r="F289" s="490"/>
      <c r="G289" s="490"/>
      <c r="H289" s="318">
        <f t="shared" si="43"/>
        <v>1200</v>
      </c>
      <c r="I289" s="318">
        <f>I290</f>
        <v>1198</v>
      </c>
      <c r="J289" s="491">
        <f t="shared" si="39"/>
        <v>-0.00166666666666671</v>
      </c>
      <c r="K289" s="330"/>
      <c r="L289" s="316">
        <f t="shared" si="44"/>
        <v>5</v>
      </c>
      <c r="M289" s="478"/>
    </row>
    <row r="290" s="291" customFormat="1" ht="24.95" customHeight="1" spans="1:13">
      <c r="A290" s="310">
        <v>2080699</v>
      </c>
      <c r="B290" s="321" t="s">
        <v>317</v>
      </c>
      <c r="C290" s="492">
        <v>1200</v>
      </c>
      <c r="D290" s="322"/>
      <c r="E290" s="322">
        <f t="shared" si="42"/>
        <v>1200</v>
      </c>
      <c r="F290" s="322"/>
      <c r="G290" s="322"/>
      <c r="H290" s="322">
        <f t="shared" si="43"/>
        <v>1200</v>
      </c>
      <c r="I290" s="322">
        <v>1198</v>
      </c>
      <c r="J290" s="494">
        <f t="shared" si="39"/>
        <v>-0.00166666666666671</v>
      </c>
      <c r="K290" s="326"/>
      <c r="L290" s="316">
        <f t="shared" si="44"/>
        <v>7</v>
      </c>
      <c r="M290" s="478"/>
    </row>
    <row r="291" s="291" customFormat="1" ht="24.95" customHeight="1" spans="1:13">
      <c r="A291" s="310">
        <v>20807</v>
      </c>
      <c r="B291" s="317" t="s">
        <v>318</v>
      </c>
      <c r="C291" s="489">
        <v>21077</v>
      </c>
      <c r="D291" s="490"/>
      <c r="E291" s="318">
        <f t="shared" si="42"/>
        <v>21077</v>
      </c>
      <c r="F291" s="490"/>
      <c r="G291" s="490"/>
      <c r="H291" s="318">
        <f t="shared" si="43"/>
        <v>21077</v>
      </c>
      <c r="I291" s="318">
        <f>SUM(I292:I294)</f>
        <v>3573</v>
      </c>
      <c r="J291" s="491">
        <f t="shared" si="39"/>
        <v>-0.830478720880581</v>
      </c>
      <c r="K291" s="330"/>
      <c r="L291" s="316">
        <f t="shared" si="44"/>
        <v>5</v>
      </c>
      <c r="M291" s="478"/>
    </row>
    <row r="292" s="291" customFormat="1" ht="54.95" customHeight="1" spans="1:13">
      <c r="A292" s="310">
        <v>2080702</v>
      </c>
      <c r="B292" s="321" t="s">
        <v>319</v>
      </c>
      <c r="C292" s="492">
        <v>461</v>
      </c>
      <c r="D292" s="322"/>
      <c r="E292" s="322">
        <f t="shared" si="42"/>
        <v>461</v>
      </c>
      <c r="F292" s="322"/>
      <c r="G292" s="322"/>
      <c r="H292" s="322">
        <f t="shared" si="43"/>
        <v>461</v>
      </c>
      <c r="I292" s="322"/>
      <c r="J292" s="494">
        <f t="shared" si="39"/>
        <v>-1</v>
      </c>
      <c r="K292" s="326" t="s">
        <v>320</v>
      </c>
      <c r="L292" s="316">
        <f t="shared" si="44"/>
        <v>7</v>
      </c>
      <c r="M292" s="478"/>
    </row>
    <row r="293" s="291" customFormat="1" ht="50.1" customHeight="1" spans="1:13">
      <c r="A293" s="310">
        <v>2080712</v>
      </c>
      <c r="B293" s="321" t="s">
        <v>321</v>
      </c>
      <c r="C293" s="492">
        <v>17607</v>
      </c>
      <c r="D293" s="322"/>
      <c r="E293" s="322">
        <f t="shared" si="42"/>
        <v>17607</v>
      </c>
      <c r="F293" s="322"/>
      <c r="G293" s="322"/>
      <c r="H293" s="322">
        <f t="shared" si="43"/>
        <v>17607</v>
      </c>
      <c r="I293" s="322"/>
      <c r="J293" s="494">
        <f t="shared" si="39"/>
        <v>-1</v>
      </c>
      <c r="K293" s="326" t="s">
        <v>320</v>
      </c>
      <c r="L293" s="316">
        <f t="shared" si="44"/>
        <v>7</v>
      </c>
      <c r="M293" s="478"/>
    </row>
    <row r="294" s="291" customFormat="1" ht="24.95" customHeight="1" spans="1:13">
      <c r="A294" s="310">
        <v>2080799</v>
      </c>
      <c r="B294" s="321" t="s">
        <v>322</v>
      </c>
      <c r="C294" s="492">
        <v>3009</v>
      </c>
      <c r="D294" s="322"/>
      <c r="E294" s="322">
        <f t="shared" si="42"/>
        <v>3009</v>
      </c>
      <c r="F294" s="322"/>
      <c r="G294" s="322"/>
      <c r="H294" s="322">
        <f t="shared" si="43"/>
        <v>3009</v>
      </c>
      <c r="I294" s="322">
        <v>3573</v>
      </c>
      <c r="J294" s="494">
        <f t="shared" si="39"/>
        <v>0.187437686939183</v>
      </c>
      <c r="K294" s="326"/>
      <c r="L294" s="316">
        <f t="shared" si="44"/>
        <v>7</v>
      </c>
      <c r="M294" s="478"/>
    </row>
    <row r="295" s="291" customFormat="1" ht="24.95" customHeight="1" spans="1:13">
      <c r="A295" s="310">
        <v>20808</v>
      </c>
      <c r="B295" s="317" t="s">
        <v>323</v>
      </c>
      <c r="C295" s="489">
        <v>2814</v>
      </c>
      <c r="D295" s="490"/>
      <c r="E295" s="318">
        <f t="shared" si="42"/>
        <v>2814</v>
      </c>
      <c r="F295" s="490"/>
      <c r="G295" s="490"/>
      <c r="H295" s="318">
        <f t="shared" si="43"/>
        <v>2814</v>
      </c>
      <c r="I295" s="318">
        <f>SUM(I296:I300)</f>
        <v>3931</v>
      </c>
      <c r="J295" s="491">
        <f t="shared" si="39"/>
        <v>0.396943852167733</v>
      </c>
      <c r="K295" s="330"/>
      <c r="L295" s="316">
        <f t="shared" si="44"/>
        <v>5</v>
      </c>
      <c r="M295" s="478"/>
    </row>
    <row r="296" s="291" customFormat="1" ht="24.95" customHeight="1" spans="1:13">
      <c r="A296" s="310">
        <v>2080801</v>
      </c>
      <c r="B296" s="327" t="s">
        <v>324</v>
      </c>
      <c r="C296" s="492"/>
      <c r="D296" s="322"/>
      <c r="E296" s="322">
        <v>0</v>
      </c>
      <c r="F296" s="322"/>
      <c r="G296" s="322"/>
      <c r="H296" s="322">
        <f t="shared" si="43"/>
        <v>0</v>
      </c>
      <c r="I296" s="322">
        <v>879</v>
      </c>
      <c r="J296" s="495">
        <v>0</v>
      </c>
      <c r="K296" s="326"/>
      <c r="L296" s="316">
        <f t="shared" si="44"/>
        <v>7</v>
      </c>
      <c r="M296" s="478"/>
    </row>
    <row r="297" s="291" customFormat="1" ht="24.95" customHeight="1" spans="1:13">
      <c r="A297" s="310">
        <v>2080802</v>
      </c>
      <c r="B297" s="327" t="s">
        <v>325</v>
      </c>
      <c r="C297" s="492"/>
      <c r="D297" s="322"/>
      <c r="E297" s="322">
        <v>0</v>
      </c>
      <c r="F297" s="322"/>
      <c r="G297" s="322"/>
      <c r="H297" s="322">
        <f t="shared" si="43"/>
        <v>0</v>
      </c>
      <c r="I297" s="322">
        <v>35</v>
      </c>
      <c r="J297" s="495">
        <v>0</v>
      </c>
      <c r="K297" s="326"/>
      <c r="L297" s="316">
        <f t="shared" si="44"/>
        <v>7</v>
      </c>
      <c r="M297" s="478"/>
    </row>
    <row r="298" s="291" customFormat="1" ht="66.95" customHeight="1" spans="1:13">
      <c r="A298" s="310">
        <v>2080804</v>
      </c>
      <c r="B298" s="321" t="s">
        <v>326</v>
      </c>
      <c r="C298" s="492">
        <v>205</v>
      </c>
      <c r="D298" s="322"/>
      <c r="E298" s="322">
        <f t="shared" ref="E298:E317" si="45">C298+D298</f>
        <v>205</v>
      </c>
      <c r="F298" s="322"/>
      <c r="G298" s="322"/>
      <c r="H298" s="322">
        <f t="shared" si="43"/>
        <v>205</v>
      </c>
      <c r="I298" s="322">
        <v>515</v>
      </c>
      <c r="J298" s="494">
        <f t="shared" si="39"/>
        <v>1.51219512195122</v>
      </c>
      <c r="K298" s="326" t="s">
        <v>327</v>
      </c>
      <c r="L298" s="316">
        <f t="shared" si="44"/>
        <v>7</v>
      </c>
      <c r="M298" s="478"/>
    </row>
    <row r="299" s="291" customFormat="1" ht="24.95" customHeight="1" spans="1:13">
      <c r="A299" s="310">
        <v>2080805</v>
      </c>
      <c r="B299" s="327" t="s">
        <v>328</v>
      </c>
      <c r="C299" s="492"/>
      <c r="D299" s="322"/>
      <c r="E299" s="322">
        <v>0</v>
      </c>
      <c r="F299" s="322"/>
      <c r="G299" s="322"/>
      <c r="H299" s="322"/>
      <c r="I299" s="322"/>
      <c r="J299" s="495">
        <v>0</v>
      </c>
      <c r="K299" s="326"/>
      <c r="L299" s="316">
        <f t="shared" si="44"/>
        <v>7</v>
      </c>
      <c r="M299" s="478"/>
    </row>
    <row r="300" s="291" customFormat="1" ht="24.95" customHeight="1" spans="1:13">
      <c r="A300" s="310">
        <v>2080899</v>
      </c>
      <c r="B300" s="321" t="s">
        <v>329</v>
      </c>
      <c r="C300" s="492">
        <v>2609</v>
      </c>
      <c r="D300" s="322"/>
      <c r="E300" s="322">
        <f t="shared" si="45"/>
        <v>2609</v>
      </c>
      <c r="F300" s="322"/>
      <c r="G300" s="322"/>
      <c r="H300" s="322">
        <f t="shared" si="43"/>
        <v>2609</v>
      </c>
      <c r="I300" s="322">
        <v>2502</v>
      </c>
      <c r="J300" s="494">
        <f t="shared" si="39"/>
        <v>-0.0410118819471061</v>
      </c>
      <c r="K300" s="326"/>
      <c r="L300" s="316">
        <f t="shared" si="44"/>
        <v>7</v>
      </c>
      <c r="M300" s="478"/>
    </row>
    <row r="301" s="291" customFormat="1" ht="24.95" customHeight="1" spans="1:13">
      <c r="A301" s="310">
        <v>20809</v>
      </c>
      <c r="B301" s="317" t="s">
        <v>330</v>
      </c>
      <c r="C301" s="489">
        <v>3992</v>
      </c>
      <c r="D301" s="490"/>
      <c r="E301" s="318">
        <f t="shared" si="45"/>
        <v>3992</v>
      </c>
      <c r="F301" s="490"/>
      <c r="G301" s="490"/>
      <c r="H301" s="318">
        <f t="shared" si="43"/>
        <v>3992</v>
      </c>
      <c r="I301" s="318">
        <f>SUM(I302:I305)</f>
        <v>3422</v>
      </c>
      <c r="J301" s="491">
        <f t="shared" si="39"/>
        <v>-0.142785571142285</v>
      </c>
      <c r="K301" s="330"/>
      <c r="L301" s="316">
        <f t="shared" si="44"/>
        <v>5</v>
      </c>
      <c r="M301" s="478"/>
    </row>
    <row r="302" s="291" customFormat="1" ht="69.95" customHeight="1" spans="1:13">
      <c r="A302" s="310">
        <v>2080901</v>
      </c>
      <c r="B302" s="321" t="s">
        <v>331</v>
      </c>
      <c r="C302" s="492">
        <v>108</v>
      </c>
      <c r="D302" s="322"/>
      <c r="E302" s="322">
        <f t="shared" si="45"/>
        <v>108</v>
      </c>
      <c r="F302" s="322"/>
      <c r="G302" s="322"/>
      <c r="H302" s="322">
        <f t="shared" si="43"/>
        <v>108</v>
      </c>
      <c r="I302" s="322">
        <v>183</v>
      </c>
      <c r="J302" s="494">
        <f t="shared" si="39"/>
        <v>0.694444444444444</v>
      </c>
      <c r="K302" s="326" t="s">
        <v>332</v>
      </c>
      <c r="L302" s="316">
        <f t="shared" si="44"/>
        <v>7</v>
      </c>
      <c r="M302" s="478"/>
    </row>
    <row r="303" s="291" customFormat="1" ht="24.95" customHeight="1" spans="1:13">
      <c r="A303" s="310">
        <v>2080904</v>
      </c>
      <c r="B303" s="321" t="s">
        <v>333</v>
      </c>
      <c r="C303" s="492">
        <v>238</v>
      </c>
      <c r="D303" s="322"/>
      <c r="E303" s="322">
        <f t="shared" si="45"/>
        <v>238</v>
      </c>
      <c r="F303" s="322"/>
      <c r="G303" s="322"/>
      <c r="H303" s="322">
        <f t="shared" si="43"/>
        <v>238</v>
      </c>
      <c r="I303" s="322">
        <v>287</v>
      </c>
      <c r="J303" s="494">
        <f t="shared" si="39"/>
        <v>0.205882352941176</v>
      </c>
      <c r="K303" s="326"/>
      <c r="L303" s="316">
        <f t="shared" si="44"/>
        <v>7</v>
      </c>
      <c r="M303" s="478"/>
    </row>
    <row r="304" s="291" customFormat="1" ht="74.1" customHeight="1" spans="1:13">
      <c r="A304" s="310">
        <v>2080905</v>
      </c>
      <c r="B304" s="321" t="s">
        <v>98</v>
      </c>
      <c r="C304" s="492">
        <v>43</v>
      </c>
      <c r="D304" s="322"/>
      <c r="E304" s="322">
        <f t="shared" si="45"/>
        <v>43</v>
      </c>
      <c r="F304" s="322"/>
      <c r="G304" s="322"/>
      <c r="H304" s="322">
        <f t="shared" si="43"/>
        <v>43</v>
      </c>
      <c r="I304" s="322"/>
      <c r="J304" s="494">
        <f t="shared" si="39"/>
        <v>-1</v>
      </c>
      <c r="K304" s="326" t="s">
        <v>334</v>
      </c>
      <c r="L304" s="316">
        <f t="shared" si="44"/>
        <v>7</v>
      </c>
      <c r="M304" s="478"/>
    </row>
    <row r="305" s="291" customFormat="1" ht="59.1" customHeight="1" spans="1:13">
      <c r="A305" s="310">
        <v>2080999</v>
      </c>
      <c r="B305" s="321" t="s">
        <v>335</v>
      </c>
      <c r="C305" s="492">
        <v>3603</v>
      </c>
      <c r="D305" s="322"/>
      <c r="E305" s="322">
        <f t="shared" si="45"/>
        <v>3603</v>
      </c>
      <c r="F305" s="322"/>
      <c r="G305" s="322"/>
      <c r="H305" s="322">
        <f t="shared" si="43"/>
        <v>3603</v>
      </c>
      <c r="I305" s="322">
        <v>2952</v>
      </c>
      <c r="J305" s="494">
        <f t="shared" si="39"/>
        <v>-0.180682764363031</v>
      </c>
      <c r="K305" s="326" t="s">
        <v>336</v>
      </c>
      <c r="L305" s="316">
        <f t="shared" si="44"/>
        <v>7</v>
      </c>
      <c r="M305" s="478"/>
    </row>
    <row r="306" s="291" customFormat="1" ht="24.95" customHeight="1" spans="1:13">
      <c r="A306" s="310">
        <v>20810</v>
      </c>
      <c r="B306" s="317" t="s">
        <v>337</v>
      </c>
      <c r="C306" s="489">
        <v>8680</v>
      </c>
      <c r="D306" s="490"/>
      <c r="E306" s="318">
        <f t="shared" si="45"/>
        <v>8680</v>
      </c>
      <c r="F306" s="490"/>
      <c r="G306" s="490"/>
      <c r="H306" s="318">
        <f t="shared" si="43"/>
        <v>8680</v>
      </c>
      <c r="I306" s="318">
        <f>SUM(I307:I310)</f>
        <v>9282</v>
      </c>
      <c r="J306" s="491">
        <f t="shared" si="39"/>
        <v>0.0693548387096774</v>
      </c>
      <c r="K306" s="330"/>
      <c r="L306" s="316">
        <f t="shared" si="44"/>
        <v>5</v>
      </c>
      <c r="M306" s="478"/>
    </row>
    <row r="307" s="291" customFormat="1" ht="24.95" customHeight="1" spans="1:13">
      <c r="A307" s="310">
        <v>2081002</v>
      </c>
      <c r="B307" s="321" t="s">
        <v>338</v>
      </c>
      <c r="C307" s="492">
        <v>861</v>
      </c>
      <c r="D307" s="322"/>
      <c r="E307" s="322">
        <f t="shared" si="45"/>
        <v>861</v>
      </c>
      <c r="F307" s="322"/>
      <c r="G307" s="322"/>
      <c r="H307" s="322">
        <f t="shared" si="43"/>
        <v>861</v>
      </c>
      <c r="I307" s="322">
        <v>860</v>
      </c>
      <c r="J307" s="494">
        <f t="shared" si="39"/>
        <v>-0.00116144018583042</v>
      </c>
      <c r="K307" s="326"/>
      <c r="L307" s="316">
        <f t="shared" si="44"/>
        <v>7</v>
      </c>
      <c r="M307" s="478"/>
    </row>
    <row r="308" s="291" customFormat="1" ht="24.95" customHeight="1" spans="1:13">
      <c r="A308" s="310">
        <v>2081004</v>
      </c>
      <c r="B308" s="321" t="s">
        <v>339</v>
      </c>
      <c r="C308" s="492">
        <v>346</v>
      </c>
      <c r="D308" s="322"/>
      <c r="E308" s="322">
        <f t="shared" si="45"/>
        <v>346</v>
      </c>
      <c r="F308" s="322"/>
      <c r="G308" s="322"/>
      <c r="H308" s="322">
        <f t="shared" si="43"/>
        <v>346</v>
      </c>
      <c r="I308" s="322">
        <v>383</v>
      </c>
      <c r="J308" s="494">
        <f t="shared" si="39"/>
        <v>0.106936416184971</v>
      </c>
      <c r="K308" s="326"/>
      <c r="L308" s="316">
        <f t="shared" si="44"/>
        <v>7</v>
      </c>
      <c r="M308" s="478"/>
    </row>
    <row r="309" s="291" customFormat="1" ht="24.95" customHeight="1" spans="1:13">
      <c r="A309" s="310">
        <v>2081005</v>
      </c>
      <c r="B309" s="321" t="s">
        <v>340</v>
      </c>
      <c r="C309" s="492">
        <v>3827</v>
      </c>
      <c r="D309" s="322"/>
      <c r="E309" s="322">
        <f t="shared" si="45"/>
        <v>3827</v>
      </c>
      <c r="F309" s="322"/>
      <c r="G309" s="322"/>
      <c r="H309" s="322">
        <f t="shared" si="43"/>
        <v>3827</v>
      </c>
      <c r="I309" s="322">
        <v>4030</v>
      </c>
      <c r="J309" s="494">
        <f t="shared" si="39"/>
        <v>0.0530441599163836</v>
      </c>
      <c r="K309" s="326"/>
      <c r="L309" s="316">
        <f t="shared" si="44"/>
        <v>7</v>
      </c>
      <c r="M309" s="478"/>
    </row>
    <row r="310" s="291" customFormat="1" ht="24.95" customHeight="1" spans="1:13">
      <c r="A310" s="310">
        <v>2081099</v>
      </c>
      <c r="B310" s="321" t="s">
        <v>341</v>
      </c>
      <c r="C310" s="492">
        <v>3646</v>
      </c>
      <c r="D310" s="322"/>
      <c r="E310" s="322">
        <f t="shared" si="45"/>
        <v>3646</v>
      </c>
      <c r="F310" s="322"/>
      <c r="G310" s="322"/>
      <c r="H310" s="322">
        <f t="shared" si="43"/>
        <v>3646</v>
      </c>
      <c r="I310" s="322">
        <v>4009</v>
      </c>
      <c r="J310" s="494">
        <f t="shared" si="39"/>
        <v>0.0995611629182667</v>
      </c>
      <c r="K310" s="326" t="s">
        <v>342</v>
      </c>
      <c r="L310" s="316">
        <f t="shared" si="44"/>
        <v>7</v>
      </c>
      <c r="M310" s="478"/>
    </row>
    <row r="311" s="291" customFormat="1" ht="24.95" customHeight="1" spans="1:13">
      <c r="A311" s="310">
        <v>20811</v>
      </c>
      <c r="B311" s="317" t="s">
        <v>343</v>
      </c>
      <c r="C311" s="489">
        <v>12993</v>
      </c>
      <c r="D311" s="490"/>
      <c r="E311" s="318">
        <f t="shared" si="45"/>
        <v>12993</v>
      </c>
      <c r="F311" s="490"/>
      <c r="G311" s="490"/>
      <c r="H311" s="318">
        <f t="shared" si="43"/>
        <v>12993</v>
      </c>
      <c r="I311" s="318">
        <f>SUM(I312:I317)</f>
        <v>14246</v>
      </c>
      <c r="J311" s="491">
        <f t="shared" si="39"/>
        <v>0.0964365427537905</v>
      </c>
      <c r="K311" s="330"/>
      <c r="L311" s="316">
        <f t="shared" si="44"/>
        <v>5</v>
      </c>
      <c r="M311" s="478"/>
    </row>
    <row r="312" s="291" customFormat="1" ht="24.95" customHeight="1" spans="1:13">
      <c r="A312" s="310">
        <v>2081101</v>
      </c>
      <c r="B312" s="321" t="s">
        <v>49</v>
      </c>
      <c r="C312" s="492">
        <v>1416</v>
      </c>
      <c r="D312" s="322"/>
      <c r="E312" s="322">
        <f t="shared" si="45"/>
        <v>1416</v>
      </c>
      <c r="F312" s="322"/>
      <c r="G312" s="322"/>
      <c r="H312" s="322">
        <f t="shared" si="43"/>
        <v>1416</v>
      </c>
      <c r="I312" s="322">
        <v>1464</v>
      </c>
      <c r="J312" s="494">
        <f t="shared" si="39"/>
        <v>0.0338983050847457</v>
      </c>
      <c r="K312" s="326"/>
      <c r="L312" s="316">
        <f t="shared" si="44"/>
        <v>7</v>
      </c>
      <c r="M312" s="478"/>
    </row>
    <row r="313" s="291" customFormat="1" ht="24.95" customHeight="1" spans="1:13">
      <c r="A313" s="310">
        <v>2081102</v>
      </c>
      <c r="B313" s="321" t="s">
        <v>50</v>
      </c>
      <c r="C313" s="492">
        <v>111</v>
      </c>
      <c r="D313" s="322"/>
      <c r="E313" s="322">
        <f t="shared" si="45"/>
        <v>111</v>
      </c>
      <c r="F313" s="322"/>
      <c r="G313" s="322"/>
      <c r="H313" s="322">
        <f t="shared" si="43"/>
        <v>111</v>
      </c>
      <c r="I313" s="322">
        <v>110</v>
      </c>
      <c r="J313" s="494">
        <f t="shared" si="39"/>
        <v>-0.00900900900900903</v>
      </c>
      <c r="K313" s="326"/>
      <c r="L313" s="316">
        <f t="shared" si="44"/>
        <v>7</v>
      </c>
      <c r="M313" s="478"/>
    </row>
    <row r="314" s="291" customFormat="1" ht="24.95" customHeight="1" spans="1:13">
      <c r="A314" s="310">
        <v>2081104</v>
      </c>
      <c r="B314" s="321" t="s">
        <v>344</v>
      </c>
      <c r="C314" s="492">
        <v>1158</v>
      </c>
      <c r="D314" s="322"/>
      <c r="E314" s="322">
        <f t="shared" si="45"/>
        <v>1158</v>
      </c>
      <c r="F314" s="322"/>
      <c r="G314" s="322"/>
      <c r="H314" s="322">
        <f t="shared" si="43"/>
        <v>1158</v>
      </c>
      <c r="I314" s="322">
        <v>1044</v>
      </c>
      <c r="J314" s="494">
        <f t="shared" si="39"/>
        <v>-0.0984455958549223</v>
      </c>
      <c r="K314" s="326"/>
      <c r="L314" s="316">
        <f t="shared" si="44"/>
        <v>7</v>
      </c>
      <c r="M314" s="478"/>
    </row>
    <row r="315" s="291" customFormat="1" ht="24.95" customHeight="1" spans="1:13">
      <c r="A315" s="310">
        <v>2081105</v>
      </c>
      <c r="B315" s="321" t="s">
        <v>345</v>
      </c>
      <c r="C315" s="492">
        <v>1162</v>
      </c>
      <c r="D315" s="322"/>
      <c r="E315" s="322">
        <f t="shared" si="45"/>
        <v>1162</v>
      </c>
      <c r="F315" s="322"/>
      <c r="G315" s="322"/>
      <c r="H315" s="322">
        <f t="shared" si="43"/>
        <v>1162</v>
      </c>
      <c r="I315" s="322">
        <v>1258</v>
      </c>
      <c r="J315" s="494">
        <f t="shared" si="39"/>
        <v>0.0826161790017212</v>
      </c>
      <c r="K315" s="326"/>
      <c r="L315" s="316">
        <f t="shared" si="44"/>
        <v>7</v>
      </c>
      <c r="M315" s="478"/>
    </row>
    <row r="316" s="291" customFormat="1" ht="24.95" customHeight="1" spans="1:13">
      <c r="A316" s="310">
        <v>2081106</v>
      </c>
      <c r="B316" s="321" t="s">
        <v>346</v>
      </c>
      <c r="C316" s="492">
        <v>56</v>
      </c>
      <c r="D316" s="322"/>
      <c r="E316" s="322">
        <f t="shared" si="45"/>
        <v>56</v>
      </c>
      <c r="F316" s="322"/>
      <c r="G316" s="322"/>
      <c r="H316" s="322">
        <f t="shared" si="43"/>
        <v>56</v>
      </c>
      <c r="I316" s="322">
        <v>56</v>
      </c>
      <c r="J316" s="494">
        <f t="shared" si="39"/>
        <v>0</v>
      </c>
      <c r="K316" s="326"/>
      <c r="L316" s="316">
        <f t="shared" si="44"/>
        <v>7</v>
      </c>
      <c r="M316" s="478"/>
    </row>
    <row r="317" s="291" customFormat="1" ht="66.95" customHeight="1" spans="1:13">
      <c r="A317" s="310">
        <v>2081199</v>
      </c>
      <c r="B317" s="321" t="s">
        <v>347</v>
      </c>
      <c r="C317" s="492">
        <v>9090</v>
      </c>
      <c r="D317" s="322"/>
      <c r="E317" s="322">
        <f t="shared" si="45"/>
        <v>9090</v>
      </c>
      <c r="F317" s="322"/>
      <c r="G317" s="322"/>
      <c r="H317" s="322">
        <f t="shared" si="43"/>
        <v>9090</v>
      </c>
      <c r="I317" s="322">
        <v>10314</v>
      </c>
      <c r="J317" s="494">
        <f t="shared" si="39"/>
        <v>0.134653465346535</v>
      </c>
      <c r="K317" s="326" t="s">
        <v>348</v>
      </c>
      <c r="L317" s="316">
        <f t="shared" si="44"/>
        <v>7</v>
      </c>
      <c r="M317" s="478"/>
    </row>
    <row r="318" s="291" customFormat="1" ht="24.95" customHeight="1" spans="1:13">
      <c r="A318" s="310">
        <v>20815</v>
      </c>
      <c r="B318" s="332" t="s">
        <v>349</v>
      </c>
      <c r="C318" s="489"/>
      <c r="D318" s="490"/>
      <c r="E318" s="318">
        <v>0</v>
      </c>
      <c r="F318" s="490"/>
      <c r="G318" s="490"/>
      <c r="H318" s="318"/>
      <c r="I318" s="318"/>
      <c r="J318" s="496">
        <v>0</v>
      </c>
      <c r="K318" s="330"/>
      <c r="L318" s="316">
        <f t="shared" si="44"/>
        <v>5</v>
      </c>
      <c r="M318" s="478"/>
    </row>
    <row r="319" s="291" customFormat="1" ht="24.95" customHeight="1" spans="1:13">
      <c r="A319" s="310">
        <v>2081502</v>
      </c>
      <c r="B319" s="327" t="s">
        <v>350</v>
      </c>
      <c r="C319" s="492"/>
      <c r="D319" s="322"/>
      <c r="E319" s="322">
        <v>0</v>
      </c>
      <c r="F319" s="322"/>
      <c r="G319" s="322"/>
      <c r="H319" s="322"/>
      <c r="I319" s="322"/>
      <c r="J319" s="495">
        <v>0</v>
      </c>
      <c r="K319" s="326"/>
      <c r="L319" s="316">
        <f t="shared" si="44"/>
        <v>7</v>
      </c>
      <c r="M319" s="478"/>
    </row>
    <row r="320" s="291" customFormat="1" ht="39.95" customHeight="1" spans="1:13">
      <c r="A320" s="310">
        <v>2081599</v>
      </c>
      <c r="B320" s="327" t="s">
        <v>351</v>
      </c>
      <c r="C320" s="492"/>
      <c r="D320" s="322"/>
      <c r="E320" s="322">
        <v>0</v>
      </c>
      <c r="F320" s="322"/>
      <c r="G320" s="322"/>
      <c r="H320" s="322"/>
      <c r="I320" s="322"/>
      <c r="J320" s="495">
        <v>0</v>
      </c>
      <c r="K320" s="326"/>
      <c r="L320" s="316">
        <f t="shared" si="44"/>
        <v>7</v>
      </c>
      <c r="M320" s="478"/>
    </row>
    <row r="321" s="291" customFormat="1" ht="24.95" customHeight="1" spans="1:13">
      <c r="A321" s="310">
        <v>20819</v>
      </c>
      <c r="B321" s="317" t="s">
        <v>352</v>
      </c>
      <c r="C321" s="489">
        <v>439</v>
      </c>
      <c r="D321" s="490"/>
      <c r="E321" s="318">
        <f t="shared" ref="E321:E338" si="46">C321+D321</f>
        <v>439</v>
      </c>
      <c r="F321" s="490"/>
      <c r="G321" s="490"/>
      <c r="H321" s="318">
        <f t="shared" si="43"/>
        <v>439</v>
      </c>
      <c r="I321" s="318">
        <f>I322</f>
        <v>409</v>
      </c>
      <c r="J321" s="491">
        <f t="shared" si="39"/>
        <v>-0.0683371298405467</v>
      </c>
      <c r="K321" s="330"/>
      <c r="L321" s="316">
        <f t="shared" si="44"/>
        <v>5</v>
      </c>
      <c r="M321" s="478"/>
    </row>
    <row r="322" s="291" customFormat="1" ht="24.95" customHeight="1" spans="1:13">
      <c r="A322" s="310">
        <v>2081901</v>
      </c>
      <c r="B322" s="321" t="s">
        <v>353</v>
      </c>
      <c r="C322" s="492">
        <v>439</v>
      </c>
      <c r="D322" s="322"/>
      <c r="E322" s="322">
        <f t="shared" si="46"/>
        <v>439</v>
      </c>
      <c r="F322" s="322"/>
      <c r="G322" s="322"/>
      <c r="H322" s="322">
        <f t="shared" si="43"/>
        <v>439</v>
      </c>
      <c r="I322" s="322">
        <v>409</v>
      </c>
      <c r="J322" s="494">
        <f t="shared" si="39"/>
        <v>-0.0683371298405467</v>
      </c>
      <c r="K322" s="326"/>
      <c r="L322" s="316">
        <f t="shared" si="44"/>
        <v>7</v>
      </c>
      <c r="M322" s="478"/>
    </row>
    <row r="323" s="291" customFormat="1" ht="24.95" customHeight="1" spans="1:13">
      <c r="A323" s="310">
        <v>20820</v>
      </c>
      <c r="B323" s="317" t="s">
        <v>354</v>
      </c>
      <c r="C323" s="489">
        <v>1932</v>
      </c>
      <c r="D323" s="490"/>
      <c r="E323" s="318">
        <f t="shared" si="46"/>
        <v>1932</v>
      </c>
      <c r="F323" s="490"/>
      <c r="G323" s="490"/>
      <c r="H323" s="318">
        <f t="shared" si="43"/>
        <v>1932</v>
      </c>
      <c r="I323" s="318">
        <f>I324</f>
        <v>2021</v>
      </c>
      <c r="J323" s="491">
        <f t="shared" ref="J323:J386" si="47">I323/H323-1</f>
        <v>0.0460662525879918</v>
      </c>
      <c r="K323" s="330"/>
      <c r="L323" s="316">
        <f t="shared" si="44"/>
        <v>5</v>
      </c>
      <c r="M323" s="478"/>
    </row>
    <row r="324" s="291" customFormat="1" ht="24.95" customHeight="1" spans="1:13">
      <c r="A324" s="310">
        <v>2082002</v>
      </c>
      <c r="B324" s="321" t="s">
        <v>355</v>
      </c>
      <c r="C324" s="492">
        <v>1932</v>
      </c>
      <c r="D324" s="322"/>
      <c r="E324" s="322">
        <f t="shared" si="46"/>
        <v>1932</v>
      </c>
      <c r="F324" s="322"/>
      <c r="G324" s="322"/>
      <c r="H324" s="322">
        <f t="shared" si="43"/>
        <v>1932</v>
      </c>
      <c r="I324" s="322">
        <v>2021</v>
      </c>
      <c r="J324" s="494">
        <f t="shared" si="47"/>
        <v>0.0460662525879918</v>
      </c>
      <c r="K324" s="326"/>
      <c r="L324" s="316">
        <f t="shared" si="44"/>
        <v>7</v>
      </c>
      <c r="M324" s="478"/>
    </row>
    <row r="325" s="291" customFormat="1" ht="24.95" customHeight="1" spans="1:13">
      <c r="A325" s="310">
        <v>20825</v>
      </c>
      <c r="B325" s="317" t="s">
        <v>356</v>
      </c>
      <c r="C325" s="489">
        <v>18</v>
      </c>
      <c r="D325" s="490"/>
      <c r="E325" s="318">
        <f t="shared" si="46"/>
        <v>18</v>
      </c>
      <c r="F325" s="490"/>
      <c r="G325" s="490"/>
      <c r="H325" s="318">
        <f t="shared" si="43"/>
        <v>18</v>
      </c>
      <c r="I325" s="318">
        <v>30</v>
      </c>
      <c r="J325" s="491">
        <f t="shared" si="47"/>
        <v>0.666666666666667</v>
      </c>
      <c r="K325" s="330"/>
      <c r="L325" s="316">
        <f t="shared" si="44"/>
        <v>5</v>
      </c>
      <c r="M325" s="478"/>
    </row>
    <row r="326" s="291" customFormat="1" ht="51.95" customHeight="1" spans="1:13">
      <c r="A326" s="310">
        <v>2082501</v>
      </c>
      <c r="B326" s="321" t="s">
        <v>357</v>
      </c>
      <c r="C326" s="492">
        <v>18</v>
      </c>
      <c r="D326" s="322"/>
      <c r="E326" s="322">
        <f t="shared" si="46"/>
        <v>18</v>
      </c>
      <c r="F326" s="322"/>
      <c r="G326" s="322"/>
      <c r="H326" s="322">
        <f t="shared" si="43"/>
        <v>18</v>
      </c>
      <c r="I326" s="322">
        <v>30</v>
      </c>
      <c r="J326" s="494">
        <f t="shared" si="47"/>
        <v>0.666666666666667</v>
      </c>
      <c r="K326" s="326" t="s">
        <v>358</v>
      </c>
      <c r="L326" s="316">
        <f t="shared" si="44"/>
        <v>7</v>
      </c>
      <c r="M326" s="478"/>
    </row>
    <row r="327" s="291" customFormat="1" ht="41.1" customHeight="1" spans="1:13">
      <c r="A327" s="310">
        <v>20899</v>
      </c>
      <c r="B327" s="317" t="s">
        <v>359</v>
      </c>
      <c r="C327" s="489">
        <v>85</v>
      </c>
      <c r="D327" s="490"/>
      <c r="E327" s="318">
        <f t="shared" si="46"/>
        <v>85</v>
      </c>
      <c r="F327" s="490"/>
      <c r="G327" s="490"/>
      <c r="H327" s="318">
        <f t="shared" si="43"/>
        <v>85</v>
      </c>
      <c r="I327" s="318">
        <f>I328</f>
        <v>26384</v>
      </c>
      <c r="J327" s="491">
        <f t="shared" si="47"/>
        <v>309.4</v>
      </c>
      <c r="K327" s="330"/>
      <c r="L327" s="316">
        <f t="shared" si="44"/>
        <v>5</v>
      </c>
      <c r="M327" s="478"/>
    </row>
    <row r="328" s="291" customFormat="1" ht="77.1" customHeight="1" spans="1:13">
      <c r="A328" s="310">
        <v>2089901</v>
      </c>
      <c r="B328" s="321" t="s">
        <v>360</v>
      </c>
      <c r="C328" s="492">
        <v>85</v>
      </c>
      <c r="D328" s="322"/>
      <c r="E328" s="322">
        <f t="shared" si="46"/>
        <v>85</v>
      </c>
      <c r="F328" s="322"/>
      <c r="G328" s="322"/>
      <c r="H328" s="322">
        <f t="shared" si="43"/>
        <v>85</v>
      </c>
      <c r="I328" s="322">
        <v>26384</v>
      </c>
      <c r="J328" s="494">
        <f t="shared" si="47"/>
        <v>309.4</v>
      </c>
      <c r="K328" s="326" t="s">
        <v>361</v>
      </c>
      <c r="L328" s="316">
        <f t="shared" si="44"/>
        <v>7</v>
      </c>
      <c r="M328" s="478"/>
    </row>
    <row r="329" s="291" customFormat="1" ht="24.95" customHeight="1" spans="1:13">
      <c r="A329" s="310">
        <v>210</v>
      </c>
      <c r="B329" s="311" t="s">
        <v>362</v>
      </c>
      <c r="C329" s="487">
        <v>250880</v>
      </c>
      <c r="D329" s="313"/>
      <c r="E329" s="312">
        <f t="shared" si="46"/>
        <v>250880</v>
      </c>
      <c r="F329" s="313"/>
      <c r="G329" s="313"/>
      <c r="H329" s="312">
        <f t="shared" si="43"/>
        <v>250880</v>
      </c>
      <c r="I329" s="312">
        <f>I330+I334+I340+I343+I353+I355+I358+I362+I366+I368</f>
        <v>374296</v>
      </c>
      <c r="J329" s="488">
        <f t="shared" si="47"/>
        <v>0.491932397959184</v>
      </c>
      <c r="K329" s="497"/>
      <c r="L329" s="316">
        <f t="shared" si="44"/>
        <v>3</v>
      </c>
      <c r="M329" s="478"/>
    </row>
    <row r="330" s="291" customFormat="1" ht="24.95" customHeight="1" spans="1:13">
      <c r="A330" s="310">
        <v>21001</v>
      </c>
      <c r="B330" s="317" t="s">
        <v>363</v>
      </c>
      <c r="C330" s="489">
        <v>5645</v>
      </c>
      <c r="D330" s="490"/>
      <c r="E330" s="318">
        <f t="shared" si="46"/>
        <v>5645</v>
      </c>
      <c r="F330" s="490"/>
      <c r="G330" s="490"/>
      <c r="H330" s="318">
        <f t="shared" si="43"/>
        <v>5645</v>
      </c>
      <c r="I330" s="318">
        <f>SUM(I331:I333)</f>
        <v>6755</v>
      </c>
      <c r="J330" s="491">
        <f t="shared" si="47"/>
        <v>0.196634189548273</v>
      </c>
      <c r="K330" s="330"/>
      <c r="L330" s="316">
        <f t="shared" si="44"/>
        <v>5</v>
      </c>
      <c r="M330" s="478"/>
    </row>
    <row r="331" s="291" customFormat="1" ht="45" customHeight="1" spans="1:13">
      <c r="A331" s="310">
        <v>2100101</v>
      </c>
      <c r="B331" s="321" t="s">
        <v>49</v>
      </c>
      <c r="C331" s="492">
        <v>3373</v>
      </c>
      <c r="D331" s="322"/>
      <c r="E331" s="322">
        <f t="shared" si="46"/>
        <v>3373</v>
      </c>
      <c r="F331" s="322"/>
      <c r="G331" s="322"/>
      <c r="H331" s="322">
        <f t="shared" si="43"/>
        <v>3373</v>
      </c>
      <c r="I331" s="322">
        <v>4212</v>
      </c>
      <c r="J331" s="494">
        <f t="shared" si="47"/>
        <v>0.24873999407056</v>
      </c>
      <c r="K331" s="326" t="s">
        <v>364</v>
      </c>
      <c r="L331" s="316">
        <f t="shared" si="44"/>
        <v>7</v>
      </c>
      <c r="M331" s="478"/>
    </row>
    <row r="332" s="291" customFormat="1" ht="24.95" customHeight="1" spans="1:13">
      <c r="A332" s="310">
        <v>2100102</v>
      </c>
      <c r="B332" s="321" t="s">
        <v>50</v>
      </c>
      <c r="C332" s="492">
        <v>466</v>
      </c>
      <c r="D332" s="322"/>
      <c r="E332" s="322">
        <f t="shared" si="46"/>
        <v>466</v>
      </c>
      <c r="F332" s="322"/>
      <c r="G332" s="322"/>
      <c r="H332" s="322">
        <f t="shared" si="43"/>
        <v>466</v>
      </c>
      <c r="I332" s="322">
        <v>545</v>
      </c>
      <c r="J332" s="494">
        <f t="shared" si="47"/>
        <v>0.169527896995708</v>
      </c>
      <c r="K332" s="326"/>
      <c r="L332" s="316">
        <f t="shared" si="44"/>
        <v>7</v>
      </c>
      <c r="M332" s="478"/>
    </row>
    <row r="333" s="291" customFormat="1" ht="41.1" customHeight="1" spans="1:13">
      <c r="A333" s="310">
        <v>2100199</v>
      </c>
      <c r="B333" s="321" t="s">
        <v>365</v>
      </c>
      <c r="C333" s="492">
        <v>1806</v>
      </c>
      <c r="D333" s="322"/>
      <c r="E333" s="322">
        <f t="shared" si="46"/>
        <v>1806</v>
      </c>
      <c r="F333" s="322"/>
      <c r="G333" s="322"/>
      <c r="H333" s="322">
        <f t="shared" si="43"/>
        <v>1806</v>
      </c>
      <c r="I333" s="322">
        <v>1998</v>
      </c>
      <c r="J333" s="494">
        <f t="shared" si="47"/>
        <v>0.106312292358804</v>
      </c>
      <c r="K333" s="326"/>
      <c r="L333" s="316">
        <f t="shared" si="44"/>
        <v>7</v>
      </c>
      <c r="M333" s="478"/>
    </row>
    <row r="334" s="291" customFormat="1" ht="24.95" customHeight="1" spans="1:13">
      <c r="A334" s="310">
        <v>21002</v>
      </c>
      <c r="B334" s="317" t="s">
        <v>366</v>
      </c>
      <c r="C334" s="489">
        <v>120800</v>
      </c>
      <c r="D334" s="490"/>
      <c r="E334" s="318">
        <f t="shared" si="46"/>
        <v>120800</v>
      </c>
      <c r="F334" s="490"/>
      <c r="G334" s="490"/>
      <c r="H334" s="318">
        <f t="shared" si="43"/>
        <v>120800</v>
      </c>
      <c r="I334" s="318">
        <f>SUM(I335:I339)</f>
        <v>233795</v>
      </c>
      <c r="J334" s="491">
        <f t="shared" si="47"/>
        <v>0.935389072847682</v>
      </c>
      <c r="K334" s="330"/>
      <c r="L334" s="316">
        <f t="shared" si="44"/>
        <v>5</v>
      </c>
      <c r="M334" s="478"/>
    </row>
    <row r="335" s="291" customFormat="1" ht="47.1" customHeight="1" spans="1:13">
      <c r="A335" s="310">
        <v>2100201</v>
      </c>
      <c r="B335" s="321" t="s">
        <v>367</v>
      </c>
      <c r="C335" s="492">
        <v>98467</v>
      </c>
      <c r="D335" s="322"/>
      <c r="E335" s="322">
        <f t="shared" si="46"/>
        <v>98467</v>
      </c>
      <c r="F335" s="322"/>
      <c r="G335" s="322"/>
      <c r="H335" s="322">
        <f t="shared" si="43"/>
        <v>98467</v>
      </c>
      <c r="I335" s="322">
        <v>103849</v>
      </c>
      <c r="J335" s="494">
        <f t="shared" si="47"/>
        <v>0.0546579056942935</v>
      </c>
      <c r="K335" s="326" t="s">
        <v>368</v>
      </c>
      <c r="L335" s="316">
        <f t="shared" si="44"/>
        <v>7</v>
      </c>
      <c r="M335" s="478"/>
    </row>
    <row r="336" s="291" customFormat="1" ht="24.95" customHeight="1" spans="1:13">
      <c r="A336" s="310">
        <v>2100202</v>
      </c>
      <c r="B336" s="321" t="s">
        <v>369</v>
      </c>
      <c r="C336" s="492">
        <v>12505</v>
      </c>
      <c r="D336" s="322"/>
      <c r="E336" s="322">
        <f t="shared" si="46"/>
        <v>12505</v>
      </c>
      <c r="F336" s="322"/>
      <c r="G336" s="322"/>
      <c r="H336" s="322">
        <f t="shared" si="43"/>
        <v>12505</v>
      </c>
      <c r="I336" s="322">
        <v>12486</v>
      </c>
      <c r="J336" s="494">
        <f t="shared" si="47"/>
        <v>-0.00151939224310271</v>
      </c>
      <c r="K336" s="326"/>
      <c r="L336" s="316">
        <f t="shared" si="44"/>
        <v>7</v>
      </c>
      <c r="M336" s="478"/>
    </row>
    <row r="337" s="291" customFormat="1" ht="24.95" customHeight="1" spans="1:13">
      <c r="A337" s="310">
        <v>2100208</v>
      </c>
      <c r="B337" s="321" t="s">
        <v>370</v>
      </c>
      <c r="C337" s="492">
        <v>9628</v>
      </c>
      <c r="D337" s="322"/>
      <c r="E337" s="322">
        <f t="shared" si="46"/>
        <v>9628</v>
      </c>
      <c r="F337" s="322"/>
      <c r="G337" s="322"/>
      <c r="H337" s="322">
        <f t="shared" si="43"/>
        <v>9628</v>
      </c>
      <c r="I337" s="322">
        <v>9135</v>
      </c>
      <c r="J337" s="494">
        <f t="shared" si="47"/>
        <v>-0.0512048192771084</v>
      </c>
      <c r="K337" s="326"/>
      <c r="L337" s="316">
        <f t="shared" si="44"/>
        <v>7</v>
      </c>
      <c r="M337" s="478"/>
    </row>
    <row r="338" s="291" customFormat="1" ht="48.95" customHeight="1" spans="1:13">
      <c r="A338" s="310">
        <v>2100211</v>
      </c>
      <c r="B338" s="321" t="s">
        <v>371</v>
      </c>
      <c r="C338" s="492">
        <v>200</v>
      </c>
      <c r="D338" s="322"/>
      <c r="E338" s="322">
        <f t="shared" si="46"/>
        <v>200</v>
      </c>
      <c r="F338" s="322"/>
      <c r="G338" s="322"/>
      <c r="H338" s="322">
        <f t="shared" si="43"/>
        <v>200</v>
      </c>
      <c r="I338" s="322"/>
      <c r="J338" s="494">
        <f t="shared" si="47"/>
        <v>-1</v>
      </c>
      <c r="K338" s="326" t="s">
        <v>372</v>
      </c>
      <c r="L338" s="316">
        <f t="shared" si="44"/>
        <v>7</v>
      </c>
      <c r="M338" s="478"/>
    </row>
    <row r="339" s="291" customFormat="1" ht="194.1" customHeight="1" spans="1:13">
      <c r="A339" s="310">
        <v>2100299</v>
      </c>
      <c r="B339" s="327" t="s">
        <v>373</v>
      </c>
      <c r="C339" s="492"/>
      <c r="D339" s="322"/>
      <c r="E339" s="322">
        <v>0</v>
      </c>
      <c r="F339" s="322"/>
      <c r="G339" s="322"/>
      <c r="H339" s="322">
        <f t="shared" si="43"/>
        <v>0</v>
      </c>
      <c r="I339" s="322">
        <v>108325</v>
      </c>
      <c r="J339" s="495">
        <v>0</v>
      </c>
      <c r="K339" s="338" t="s">
        <v>374</v>
      </c>
      <c r="L339" s="316">
        <f t="shared" si="44"/>
        <v>7</v>
      </c>
      <c r="M339" s="478"/>
    </row>
    <row r="340" s="291" customFormat="1" ht="24.95" customHeight="1" spans="1:13">
      <c r="A340" s="310">
        <v>21003</v>
      </c>
      <c r="B340" s="317" t="s">
        <v>375</v>
      </c>
      <c r="C340" s="489">
        <v>4880</v>
      </c>
      <c r="D340" s="490"/>
      <c r="E340" s="318">
        <f t="shared" ref="E340:E357" si="48">C340+D340</f>
        <v>4880</v>
      </c>
      <c r="F340" s="490"/>
      <c r="G340" s="490"/>
      <c r="H340" s="318">
        <f t="shared" si="43"/>
        <v>4880</v>
      </c>
      <c r="I340" s="318">
        <f>SUM(I341:I342)</f>
        <v>4524</v>
      </c>
      <c r="J340" s="491">
        <f t="shared" si="47"/>
        <v>-0.0729508196721311</v>
      </c>
      <c r="K340" s="330"/>
      <c r="L340" s="316">
        <f t="shared" si="44"/>
        <v>5</v>
      </c>
      <c r="M340" s="478"/>
    </row>
    <row r="341" s="291" customFormat="1" ht="24.95" customHeight="1" spans="1:13">
      <c r="A341" s="310">
        <v>2100301</v>
      </c>
      <c r="B341" s="321" t="s">
        <v>376</v>
      </c>
      <c r="C341" s="492">
        <v>4594</v>
      </c>
      <c r="D341" s="322"/>
      <c r="E341" s="322">
        <f t="shared" si="48"/>
        <v>4594</v>
      </c>
      <c r="F341" s="322"/>
      <c r="G341" s="322"/>
      <c r="H341" s="322">
        <f t="shared" si="43"/>
        <v>4594</v>
      </c>
      <c r="I341" s="322">
        <v>4499</v>
      </c>
      <c r="J341" s="494">
        <f t="shared" si="47"/>
        <v>-0.020679146713104</v>
      </c>
      <c r="K341" s="326"/>
      <c r="L341" s="316">
        <f t="shared" si="44"/>
        <v>7</v>
      </c>
      <c r="M341" s="478"/>
    </row>
    <row r="342" s="291" customFormat="1" ht="63.95" customHeight="1" spans="1:13">
      <c r="A342" s="310">
        <v>2100399</v>
      </c>
      <c r="B342" s="321" t="s">
        <v>377</v>
      </c>
      <c r="C342" s="492">
        <v>286</v>
      </c>
      <c r="D342" s="322"/>
      <c r="E342" s="322">
        <f t="shared" si="48"/>
        <v>286</v>
      </c>
      <c r="F342" s="322"/>
      <c r="G342" s="322"/>
      <c r="H342" s="322">
        <f t="shared" si="43"/>
        <v>286</v>
      </c>
      <c r="I342" s="322">
        <v>25</v>
      </c>
      <c r="J342" s="494">
        <f t="shared" si="47"/>
        <v>-0.912587412587413</v>
      </c>
      <c r="K342" s="326" t="s">
        <v>378</v>
      </c>
      <c r="L342" s="316">
        <f t="shared" si="44"/>
        <v>7</v>
      </c>
      <c r="M342" s="478"/>
    </row>
    <row r="343" s="291" customFormat="1" ht="24.95" customHeight="1" spans="1:13">
      <c r="A343" s="310">
        <v>21004</v>
      </c>
      <c r="B343" s="317" t="s">
        <v>379</v>
      </c>
      <c r="C343" s="489">
        <v>85292</v>
      </c>
      <c r="D343" s="490"/>
      <c r="E343" s="318">
        <f t="shared" si="48"/>
        <v>85292</v>
      </c>
      <c r="F343" s="490"/>
      <c r="G343" s="490"/>
      <c r="H343" s="318">
        <f t="shared" si="43"/>
        <v>85292</v>
      </c>
      <c r="I343" s="318">
        <f>SUM(I344:I352)</f>
        <v>95928</v>
      </c>
      <c r="J343" s="491">
        <f t="shared" si="47"/>
        <v>0.124701027059982</v>
      </c>
      <c r="K343" s="330"/>
      <c r="L343" s="316">
        <f t="shared" si="44"/>
        <v>5</v>
      </c>
      <c r="M343" s="478"/>
    </row>
    <row r="344" s="291" customFormat="1" ht="42.95" customHeight="1" spans="1:13">
      <c r="A344" s="310">
        <v>2100401</v>
      </c>
      <c r="B344" s="321" t="s">
        <v>380</v>
      </c>
      <c r="C344" s="492">
        <v>26394</v>
      </c>
      <c r="D344" s="322"/>
      <c r="E344" s="322">
        <f t="shared" si="48"/>
        <v>26394</v>
      </c>
      <c r="F344" s="322"/>
      <c r="G344" s="322"/>
      <c r="H344" s="322">
        <f t="shared" si="43"/>
        <v>26394</v>
      </c>
      <c r="I344" s="322">
        <v>30990</v>
      </c>
      <c r="J344" s="494">
        <f t="shared" si="47"/>
        <v>0.174130484200955</v>
      </c>
      <c r="K344" s="326" t="s">
        <v>381</v>
      </c>
      <c r="L344" s="316">
        <f t="shared" si="44"/>
        <v>7</v>
      </c>
      <c r="M344" s="478"/>
    </row>
    <row r="345" s="291" customFormat="1" ht="63.95" customHeight="1" spans="1:13">
      <c r="A345" s="310">
        <v>2100402</v>
      </c>
      <c r="B345" s="321" t="s">
        <v>382</v>
      </c>
      <c r="C345" s="492">
        <v>15983</v>
      </c>
      <c r="D345" s="322"/>
      <c r="E345" s="322">
        <f t="shared" si="48"/>
        <v>15983</v>
      </c>
      <c r="F345" s="322"/>
      <c r="G345" s="322"/>
      <c r="H345" s="322">
        <f t="shared" ref="H345:H408" si="49">E345-F345-G345</f>
        <v>15983</v>
      </c>
      <c r="I345" s="322">
        <v>17731</v>
      </c>
      <c r="J345" s="494">
        <f t="shared" si="47"/>
        <v>0.109366201589189</v>
      </c>
      <c r="K345" s="326" t="s">
        <v>383</v>
      </c>
      <c r="L345" s="316">
        <f t="shared" ref="L345:L408" si="50">LEN(A345)</f>
        <v>7</v>
      </c>
      <c r="M345" s="478"/>
    </row>
    <row r="346" s="291" customFormat="1" ht="24.95" customHeight="1" spans="1:13">
      <c r="A346" s="310">
        <v>2100403</v>
      </c>
      <c r="B346" s="321" t="s">
        <v>384</v>
      </c>
      <c r="C346" s="492">
        <v>16899</v>
      </c>
      <c r="D346" s="322"/>
      <c r="E346" s="322">
        <f t="shared" si="48"/>
        <v>16899</v>
      </c>
      <c r="F346" s="322"/>
      <c r="G346" s="322"/>
      <c r="H346" s="322">
        <f t="shared" si="49"/>
        <v>16899</v>
      </c>
      <c r="I346" s="322">
        <v>16649</v>
      </c>
      <c r="J346" s="494">
        <f t="shared" si="47"/>
        <v>-0.0147937747795728</v>
      </c>
      <c r="K346" s="326"/>
      <c r="L346" s="316">
        <f t="shared" si="50"/>
        <v>7</v>
      </c>
      <c r="M346" s="478"/>
    </row>
    <row r="347" s="291" customFormat="1" ht="24.95" customHeight="1" spans="1:13">
      <c r="A347" s="310">
        <v>2100406</v>
      </c>
      <c r="B347" s="321" t="s">
        <v>385</v>
      </c>
      <c r="C347" s="492">
        <v>2581</v>
      </c>
      <c r="D347" s="322"/>
      <c r="E347" s="322">
        <f t="shared" si="48"/>
        <v>2581</v>
      </c>
      <c r="F347" s="322"/>
      <c r="G347" s="322"/>
      <c r="H347" s="322">
        <f t="shared" si="49"/>
        <v>2581</v>
      </c>
      <c r="I347" s="322">
        <v>2896</v>
      </c>
      <c r="J347" s="494">
        <f t="shared" si="47"/>
        <v>0.122045718713677</v>
      </c>
      <c r="K347" s="326"/>
      <c r="L347" s="316">
        <f t="shared" si="50"/>
        <v>7</v>
      </c>
      <c r="M347" s="478"/>
    </row>
    <row r="348" s="291" customFormat="1" ht="24.95" customHeight="1" spans="1:13">
      <c r="A348" s="310">
        <v>2100407</v>
      </c>
      <c r="B348" s="321" t="s">
        <v>386</v>
      </c>
      <c r="C348" s="492">
        <v>0</v>
      </c>
      <c r="D348" s="322"/>
      <c r="E348" s="322">
        <f t="shared" si="48"/>
        <v>0</v>
      </c>
      <c r="F348" s="322"/>
      <c r="G348" s="322"/>
      <c r="H348" s="322">
        <f t="shared" si="49"/>
        <v>0</v>
      </c>
      <c r="I348" s="322"/>
      <c r="J348" s="495">
        <v>0</v>
      </c>
      <c r="K348" s="326"/>
      <c r="L348" s="316">
        <f t="shared" si="50"/>
        <v>7</v>
      </c>
      <c r="M348" s="478"/>
    </row>
    <row r="349" s="291" customFormat="1" ht="40.5" customHeight="1" spans="1:13">
      <c r="A349" s="310">
        <v>2100408</v>
      </c>
      <c r="B349" s="321" t="s">
        <v>387</v>
      </c>
      <c r="C349" s="492">
        <v>17931</v>
      </c>
      <c r="D349" s="322"/>
      <c r="E349" s="322">
        <f t="shared" si="48"/>
        <v>17931</v>
      </c>
      <c r="F349" s="322"/>
      <c r="G349" s="322"/>
      <c r="H349" s="322">
        <f t="shared" si="49"/>
        <v>17931</v>
      </c>
      <c r="I349" s="322">
        <v>21454</v>
      </c>
      <c r="J349" s="494">
        <f t="shared" si="47"/>
        <v>0.196475377837265</v>
      </c>
      <c r="K349" s="326" t="s">
        <v>388</v>
      </c>
      <c r="L349" s="316">
        <f t="shared" si="50"/>
        <v>7</v>
      </c>
      <c r="M349" s="478"/>
    </row>
    <row r="350" s="291" customFormat="1" ht="59.1" customHeight="1" spans="1:13">
      <c r="A350" s="310">
        <v>2100409</v>
      </c>
      <c r="B350" s="321" t="s">
        <v>389</v>
      </c>
      <c r="C350" s="492">
        <v>146</v>
      </c>
      <c r="D350" s="322"/>
      <c r="E350" s="322">
        <f t="shared" si="48"/>
        <v>146</v>
      </c>
      <c r="F350" s="322"/>
      <c r="G350" s="322"/>
      <c r="H350" s="322">
        <f t="shared" si="49"/>
        <v>146</v>
      </c>
      <c r="I350" s="322">
        <v>824</v>
      </c>
      <c r="J350" s="494">
        <f t="shared" si="47"/>
        <v>4.64383561643836</v>
      </c>
      <c r="K350" s="326" t="s">
        <v>390</v>
      </c>
      <c r="L350" s="316">
        <f t="shared" si="50"/>
        <v>7</v>
      </c>
      <c r="M350" s="478"/>
    </row>
    <row r="351" s="291" customFormat="1" ht="45.95" customHeight="1" spans="1:13">
      <c r="A351" s="310">
        <v>2100410</v>
      </c>
      <c r="B351" s="321" t="s">
        <v>391</v>
      </c>
      <c r="C351" s="492">
        <v>100</v>
      </c>
      <c r="D351" s="322"/>
      <c r="E351" s="322">
        <f t="shared" si="48"/>
        <v>100</v>
      </c>
      <c r="F351" s="322"/>
      <c r="G351" s="322"/>
      <c r="H351" s="322">
        <f t="shared" si="49"/>
        <v>100</v>
      </c>
      <c r="I351" s="322"/>
      <c r="J351" s="494">
        <f t="shared" si="47"/>
        <v>-1</v>
      </c>
      <c r="K351" s="326" t="s">
        <v>392</v>
      </c>
      <c r="L351" s="316">
        <f t="shared" si="50"/>
        <v>7</v>
      </c>
      <c r="M351" s="478"/>
    </row>
    <row r="352" s="291" customFormat="1" ht="24.95" customHeight="1" spans="1:13">
      <c r="A352" s="310">
        <v>2100499</v>
      </c>
      <c r="B352" s="321" t="s">
        <v>393</v>
      </c>
      <c r="C352" s="492">
        <v>5258</v>
      </c>
      <c r="D352" s="322"/>
      <c r="E352" s="322">
        <f t="shared" si="48"/>
        <v>5258</v>
      </c>
      <c r="F352" s="322"/>
      <c r="G352" s="322"/>
      <c r="H352" s="322">
        <f t="shared" si="49"/>
        <v>5258</v>
      </c>
      <c r="I352" s="322">
        <v>5384</v>
      </c>
      <c r="J352" s="494">
        <f t="shared" si="47"/>
        <v>0.0239634842145302</v>
      </c>
      <c r="K352" s="326"/>
      <c r="L352" s="316">
        <f t="shared" si="50"/>
        <v>7</v>
      </c>
      <c r="M352" s="478"/>
    </row>
    <row r="353" s="291" customFormat="1" ht="24.95" customHeight="1" spans="1:13">
      <c r="A353" s="310">
        <v>21006</v>
      </c>
      <c r="B353" s="317" t="s">
        <v>394</v>
      </c>
      <c r="C353" s="489">
        <v>58</v>
      </c>
      <c r="D353" s="490"/>
      <c r="E353" s="318">
        <f t="shared" si="48"/>
        <v>58</v>
      </c>
      <c r="F353" s="490"/>
      <c r="G353" s="490"/>
      <c r="H353" s="318">
        <f t="shared" si="49"/>
        <v>58</v>
      </c>
      <c r="I353" s="318">
        <f>I354</f>
        <v>68</v>
      </c>
      <c r="J353" s="491">
        <f t="shared" si="47"/>
        <v>0.172413793103448</v>
      </c>
      <c r="K353" s="330"/>
      <c r="L353" s="316">
        <f t="shared" si="50"/>
        <v>5</v>
      </c>
      <c r="M353" s="478"/>
    </row>
    <row r="354" s="291" customFormat="1" ht="24.95" customHeight="1" spans="1:13">
      <c r="A354" s="310">
        <v>2100601</v>
      </c>
      <c r="B354" s="321" t="s">
        <v>395</v>
      </c>
      <c r="C354" s="492">
        <v>58</v>
      </c>
      <c r="D354" s="322"/>
      <c r="E354" s="322">
        <f t="shared" si="48"/>
        <v>58</v>
      </c>
      <c r="F354" s="322"/>
      <c r="G354" s="322"/>
      <c r="H354" s="322">
        <f t="shared" si="49"/>
        <v>58</v>
      </c>
      <c r="I354" s="322">
        <v>68</v>
      </c>
      <c r="J354" s="494">
        <f t="shared" si="47"/>
        <v>0.172413793103448</v>
      </c>
      <c r="K354" s="326"/>
      <c r="L354" s="316">
        <f t="shared" si="50"/>
        <v>7</v>
      </c>
      <c r="M354" s="478"/>
    </row>
    <row r="355" s="291" customFormat="1" ht="24.95" customHeight="1" spans="1:13">
      <c r="A355" s="310">
        <v>21007</v>
      </c>
      <c r="B355" s="317" t="s">
        <v>396</v>
      </c>
      <c r="C355" s="489">
        <v>10562</v>
      </c>
      <c r="D355" s="490"/>
      <c r="E355" s="318">
        <f t="shared" si="48"/>
        <v>10562</v>
      </c>
      <c r="F355" s="490"/>
      <c r="G355" s="490"/>
      <c r="H355" s="318">
        <f t="shared" si="49"/>
        <v>10562</v>
      </c>
      <c r="I355" s="318">
        <f>SUM(I356:I357)</f>
        <v>10444</v>
      </c>
      <c r="J355" s="491">
        <f t="shared" si="47"/>
        <v>-0.0111721264911948</v>
      </c>
      <c r="K355" s="330"/>
      <c r="L355" s="316">
        <f t="shared" si="50"/>
        <v>5</v>
      </c>
      <c r="M355" s="478"/>
    </row>
    <row r="356" s="291" customFormat="1" ht="24.95" customHeight="1" spans="1:13">
      <c r="A356" s="310">
        <v>2100717</v>
      </c>
      <c r="B356" s="321" t="s">
        <v>397</v>
      </c>
      <c r="C356" s="492">
        <v>8857</v>
      </c>
      <c r="D356" s="322"/>
      <c r="E356" s="322">
        <f t="shared" si="48"/>
        <v>8857</v>
      </c>
      <c r="F356" s="322"/>
      <c r="G356" s="322"/>
      <c r="H356" s="322">
        <f t="shared" si="49"/>
        <v>8857</v>
      </c>
      <c r="I356" s="322">
        <v>8825</v>
      </c>
      <c r="J356" s="494">
        <f t="shared" si="47"/>
        <v>-0.00361296149937906</v>
      </c>
      <c r="K356" s="326"/>
      <c r="L356" s="316">
        <f t="shared" si="50"/>
        <v>7</v>
      </c>
      <c r="M356" s="478"/>
    </row>
    <row r="357" s="291" customFormat="1" ht="24.95" customHeight="1" spans="1:13">
      <c r="A357" s="310">
        <v>2100799</v>
      </c>
      <c r="B357" s="321" t="s">
        <v>398</v>
      </c>
      <c r="C357" s="492">
        <v>1705</v>
      </c>
      <c r="D357" s="322"/>
      <c r="E357" s="322">
        <f t="shared" si="48"/>
        <v>1705</v>
      </c>
      <c r="F357" s="322"/>
      <c r="G357" s="322"/>
      <c r="H357" s="322">
        <f t="shared" si="49"/>
        <v>1705</v>
      </c>
      <c r="I357" s="322">
        <v>1619</v>
      </c>
      <c r="J357" s="494">
        <f t="shared" si="47"/>
        <v>-0.0504398826979472</v>
      </c>
      <c r="K357" s="326"/>
      <c r="L357" s="316">
        <f t="shared" si="50"/>
        <v>7</v>
      </c>
      <c r="M357" s="478"/>
    </row>
    <row r="358" s="291" customFormat="1" ht="42.95" customHeight="1" spans="1:13">
      <c r="A358" s="310">
        <v>21010</v>
      </c>
      <c r="B358" s="332" t="s">
        <v>399</v>
      </c>
      <c r="C358" s="489"/>
      <c r="D358" s="490"/>
      <c r="E358" s="318">
        <v>0</v>
      </c>
      <c r="F358" s="490"/>
      <c r="G358" s="490"/>
      <c r="H358" s="318"/>
      <c r="I358" s="318"/>
      <c r="J358" s="496">
        <v>0</v>
      </c>
      <c r="K358" s="330"/>
      <c r="L358" s="316">
        <f t="shared" si="50"/>
        <v>5</v>
      </c>
      <c r="M358" s="478"/>
    </row>
    <row r="359" s="291" customFormat="1" ht="24.95" customHeight="1" spans="1:13">
      <c r="A359" s="310">
        <v>2101001</v>
      </c>
      <c r="B359" s="327" t="s">
        <v>49</v>
      </c>
      <c r="C359" s="492"/>
      <c r="D359" s="322"/>
      <c r="E359" s="322">
        <v>0</v>
      </c>
      <c r="F359" s="322"/>
      <c r="G359" s="322"/>
      <c r="H359" s="322"/>
      <c r="I359" s="322"/>
      <c r="J359" s="495">
        <v>0</v>
      </c>
      <c r="K359" s="326"/>
      <c r="L359" s="316">
        <f t="shared" si="50"/>
        <v>7</v>
      </c>
      <c r="M359" s="478"/>
    </row>
    <row r="360" s="291" customFormat="1" ht="24.95" customHeight="1" spans="1:13">
      <c r="A360" s="310">
        <v>2101016</v>
      </c>
      <c r="B360" s="327" t="s">
        <v>400</v>
      </c>
      <c r="C360" s="492"/>
      <c r="D360" s="322"/>
      <c r="E360" s="322">
        <v>0</v>
      </c>
      <c r="F360" s="322"/>
      <c r="G360" s="322"/>
      <c r="H360" s="322"/>
      <c r="I360" s="322"/>
      <c r="J360" s="495">
        <v>0</v>
      </c>
      <c r="K360" s="326"/>
      <c r="L360" s="316">
        <f t="shared" si="50"/>
        <v>7</v>
      </c>
      <c r="M360" s="478"/>
    </row>
    <row r="361" s="291" customFormat="1" ht="41.1" customHeight="1" spans="1:13">
      <c r="A361" s="310">
        <v>2101099</v>
      </c>
      <c r="B361" s="327" t="s">
        <v>401</v>
      </c>
      <c r="C361" s="492"/>
      <c r="D361" s="322"/>
      <c r="E361" s="322">
        <v>0</v>
      </c>
      <c r="F361" s="322"/>
      <c r="G361" s="322"/>
      <c r="H361" s="322"/>
      <c r="I361" s="322"/>
      <c r="J361" s="495">
        <v>0</v>
      </c>
      <c r="K361" s="326"/>
      <c r="L361" s="316">
        <f t="shared" si="50"/>
        <v>7</v>
      </c>
      <c r="M361" s="478"/>
    </row>
    <row r="362" s="291" customFormat="1" ht="24.95" customHeight="1" spans="1:13">
      <c r="A362" s="310">
        <v>21011</v>
      </c>
      <c r="B362" s="317" t="s">
        <v>402</v>
      </c>
      <c r="C362" s="489">
        <v>22950</v>
      </c>
      <c r="D362" s="490"/>
      <c r="E362" s="318">
        <f t="shared" ref="E362:E391" si="51">C362+D362</f>
        <v>22950</v>
      </c>
      <c r="F362" s="490"/>
      <c r="G362" s="490"/>
      <c r="H362" s="318">
        <f t="shared" si="49"/>
        <v>22950</v>
      </c>
      <c r="I362" s="318">
        <f>SUM(I363:I365)</f>
        <v>21785</v>
      </c>
      <c r="J362" s="491">
        <f t="shared" si="47"/>
        <v>-0.0507625272331155</v>
      </c>
      <c r="K362" s="330"/>
      <c r="L362" s="316">
        <f t="shared" si="50"/>
        <v>5</v>
      </c>
      <c r="M362" s="478"/>
    </row>
    <row r="363" s="291" customFormat="1" ht="24.95" customHeight="1" spans="1:13">
      <c r="A363" s="310">
        <v>2101101</v>
      </c>
      <c r="B363" s="321" t="s">
        <v>403</v>
      </c>
      <c r="C363" s="492">
        <v>8534</v>
      </c>
      <c r="D363" s="322"/>
      <c r="E363" s="322">
        <f t="shared" si="51"/>
        <v>8534</v>
      </c>
      <c r="F363" s="322"/>
      <c r="G363" s="322"/>
      <c r="H363" s="322">
        <f t="shared" si="49"/>
        <v>8534</v>
      </c>
      <c r="I363" s="322">
        <v>7448</v>
      </c>
      <c r="J363" s="494">
        <f t="shared" si="47"/>
        <v>-0.127255683149754</v>
      </c>
      <c r="K363" s="326"/>
      <c r="L363" s="316">
        <f t="shared" si="50"/>
        <v>7</v>
      </c>
      <c r="M363" s="478"/>
    </row>
    <row r="364" s="291" customFormat="1" ht="24.95" customHeight="1" spans="1:13">
      <c r="A364" s="310">
        <v>2101102</v>
      </c>
      <c r="B364" s="321" t="s">
        <v>404</v>
      </c>
      <c r="C364" s="492">
        <v>13941</v>
      </c>
      <c r="D364" s="322"/>
      <c r="E364" s="322">
        <f t="shared" si="51"/>
        <v>13941</v>
      </c>
      <c r="F364" s="322"/>
      <c r="G364" s="322"/>
      <c r="H364" s="322">
        <f t="shared" si="49"/>
        <v>13941</v>
      </c>
      <c r="I364" s="322">
        <v>14067</v>
      </c>
      <c r="J364" s="494">
        <f t="shared" si="47"/>
        <v>0.00903808908973525</v>
      </c>
      <c r="K364" s="326"/>
      <c r="L364" s="316">
        <f t="shared" si="50"/>
        <v>7</v>
      </c>
      <c r="M364" s="478"/>
    </row>
    <row r="365" s="291" customFormat="1" ht="39.95" customHeight="1" spans="1:13">
      <c r="A365" s="310">
        <v>2101199</v>
      </c>
      <c r="B365" s="321" t="s">
        <v>405</v>
      </c>
      <c r="C365" s="492">
        <v>475</v>
      </c>
      <c r="D365" s="322"/>
      <c r="E365" s="322">
        <f t="shared" si="51"/>
        <v>475</v>
      </c>
      <c r="F365" s="322"/>
      <c r="G365" s="322"/>
      <c r="H365" s="322">
        <f t="shared" si="49"/>
        <v>475</v>
      </c>
      <c r="I365" s="322">
        <v>270</v>
      </c>
      <c r="J365" s="494">
        <f t="shared" si="47"/>
        <v>-0.431578947368421</v>
      </c>
      <c r="K365" s="326"/>
      <c r="L365" s="316">
        <f t="shared" si="50"/>
        <v>7</v>
      </c>
      <c r="M365" s="478"/>
    </row>
    <row r="366" s="291" customFormat="1" ht="24.95" customHeight="1" spans="1:13">
      <c r="A366" s="310">
        <v>21014</v>
      </c>
      <c r="B366" s="317" t="s">
        <v>406</v>
      </c>
      <c r="C366" s="489">
        <v>22</v>
      </c>
      <c r="D366" s="490"/>
      <c r="E366" s="318">
        <f t="shared" si="51"/>
        <v>22</v>
      </c>
      <c r="F366" s="490"/>
      <c r="G366" s="490"/>
      <c r="H366" s="318">
        <f t="shared" si="49"/>
        <v>22</v>
      </c>
      <c r="I366" s="318">
        <f>I367</f>
        <v>21</v>
      </c>
      <c r="J366" s="491">
        <f t="shared" si="47"/>
        <v>-0.0454545454545454</v>
      </c>
      <c r="K366" s="330"/>
      <c r="L366" s="316">
        <f t="shared" si="50"/>
        <v>5</v>
      </c>
      <c r="M366" s="478"/>
    </row>
    <row r="367" s="291" customFormat="1" ht="24.95" customHeight="1" spans="1:13">
      <c r="A367" s="310">
        <v>2101401</v>
      </c>
      <c r="B367" s="321" t="s">
        <v>407</v>
      </c>
      <c r="C367" s="492">
        <v>22</v>
      </c>
      <c r="D367" s="322"/>
      <c r="E367" s="322">
        <f t="shared" si="51"/>
        <v>22</v>
      </c>
      <c r="F367" s="322"/>
      <c r="G367" s="322"/>
      <c r="H367" s="322">
        <f t="shared" si="49"/>
        <v>22</v>
      </c>
      <c r="I367" s="322">
        <v>21</v>
      </c>
      <c r="J367" s="494">
        <f t="shared" si="47"/>
        <v>-0.0454545454545454</v>
      </c>
      <c r="K367" s="326"/>
      <c r="L367" s="316">
        <f t="shared" si="50"/>
        <v>7</v>
      </c>
      <c r="M367" s="478"/>
    </row>
    <row r="368" s="291" customFormat="1" ht="24.95" customHeight="1" spans="1:13">
      <c r="A368" s="310">
        <v>21099</v>
      </c>
      <c r="B368" s="317" t="s">
        <v>408</v>
      </c>
      <c r="C368" s="489">
        <v>671</v>
      </c>
      <c r="D368" s="490"/>
      <c r="E368" s="318">
        <f t="shared" si="51"/>
        <v>671</v>
      </c>
      <c r="F368" s="490"/>
      <c r="G368" s="490"/>
      <c r="H368" s="318">
        <f t="shared" si="49"/>
        <v>671</v>
      </c>
      <c r="I368" s="318">
        <f>I369</f>
        <v>976</v>
      </c>
      <c r="J368" s="491">
        <f t="shared" si="47"/>
        <v>0.454545454545455</v>
      </c>
      <c r="K368" s="330"/>
      <c r="L368" s="316">
        <f t="shared" si="50"/>
        <v>5</v>
      </c>
      <c r="M368" s="478"/>
    </row>
    <row r="369" s="291" customFormat="1" ht="24.95" customHeight="1" spans="1:13">
      <c r="A369" s="310">
        <v>2109901</v>
      </c>
      <c r="B369" s="321" t="s">
        <v>409</v>
      </c>
      <c r="C369" s="492">
        <v>671</v>
      </c>
      <c r="D369" s="322"/>
      <c r="E369" s="322">
        <f t="shared" si="51"/>
        <v>671</v>
      </c>
      <c r="F369" s="322"/>
      <c r="G369" s="322"/>
      <c r="H369" s="322">
        <f t="shared" si="49"/>
        <v>671</v>
      </c>
      <c r="I369" s="322">
        <v>976</v>
      </c>
      <c r="J369" s="494">
        <f t="shared" si="47"/>
        <v>0.454545454545455</v>
      </c>
      <c r="K369" s="326"/>
      <c r="L369" s="316">
        <f t="shared" si="50"/>
        <v>7</v>
      </c>
      <c r="M369" s="478"/>
    </row>
    <row r="370" s="291" customFormat="1" ht="24.95" customHeight="1" spans="1:13">
      <c r="A370" s="310">
        <v>211</v>
      </c>
      <c r="B370" s="311" t="s">
        <v>410</v>
      </c>
      <c r="C370" s="487">
        <v>31242</v>
      </c>
      <c r="D370" s="313">
        <v>282400</v>
      </c>
      <c r="E370" s="312">
        <f t="shared" si="51"/>
        <v>313642</v>
      </c>
      <c r="F370" s="313"/>
      <c r="G370" s="313"/>
      <c r="H370" s="312">
        <f t="shared" si="49"/>
        <v>313642</v>
      </c>
      <c r="I370" s="312">
        <f>I371+I376+I378+I380+I382</f>
        <v>268929</v>
      </c>
      <c r="J370" s="488">
        <f t="shared" si="47"/>
        <v>-0.142560626446713</v>
      </c>
      <c r="K370" s="313"/>
      <c r="L370" s="316">
        <f t="shared" si="50"/>
        <v>3</v>
      </c>
      <c r="M370" s="478"/>
    </row>
    <row r="371" s="291" customFormat="1" ht="24.95" customHeight="1" spans="1:13">
      <c r="A371" s="310">
        <v>21101</v>
      </c>
      <c r="B371" s="317" t="s">
        <v>411</v>
      </c>
      <c r="C371" s="489">
        <v>15455</v>
      </c>
      <c r="D371" s="490"/>
      <c r="E371" s="318">
        <f t="shared" si="51"/>
        <v>15455</v>
      </c>
      <c r="F371" s="490"/>
      <c r="G371" s="490"/>
      <c r="H371" s="318">
        <f t="shared" si="49"/>
        <v>15455</v>
      </c>
      <c r="I371" s="318">
        <f>SUM(I372:I375)</f>
        <v>13433</v>
      </c>
      <c r="J371" s="491">
        <f t="shared" si="47"/>
        <v>-0.130831446133937</v>
      </c>
      <c r="K371" s="330"/>
      <c r="L371" s="316">
        <f t="shared" si="50"/>
        <v>5</v>
      </c>
      <c r="M371" s="478"/>
    </row>
    <row r="372" s="291" customFormat="1" ht="24.95" customHeight="1" spans="1:13">
      <c r="A372" s="310">
        <v>2110101</v>
      </c>
      <c r="B372" s="321" t="s">
        <v>49</v>
      </c>
      <c r="C372" s="492">
        <v>6593</v>
      </c>
      <c r="D372" s="322"/>
      <c r="E372" s="322">
        <f t="shared" si="51"/>
        <v>6593</v>
      </c>
      <c r="F372" s="322"/>
      <c r="G372" s="322"/>
      <c r="H372" s="322">
        <f t="shared" si="49"/>
        <v>6593</v>
      </c>
      <c r="I372" s="322">
        <v>7613</v>
      </c>
      <c r="J372" s="494">
        <f t="shared" si="47"/>
        <v>0.154709540421659</v>
      </c>
      <c r="K372" s="326"/>
      <c r="L372" s="316">
        <f t="shared" si="50"/>
        <v>7</v>
      </c>
      <c r="M372" s="478"/>
    </row>
    <row r="373" s="291" customFormat="1" ht="59.1" customHeight="1" spans="1:13">
      <c r="A373" s="310">
        <v>2110102</v>
      </c>
      <c r="B373" s="321" t="s">
        <v>50</v>
      </c>
      <c r="C373" s="492">
        <v>5868</v>
      </c>
      <c r="D373" s="322"/>
      <c r="E373" s="322">
        <f t="shared" si="51"/>
        <v>5868</v>
      </c>
      <c r="F373" s="322"/>
      <c r="G373" s="322"/>
      <c r="H373" s="322">
        <f t="shared" si="49"/>
        <v>5868</v>
      </c>
      <c r="I373" s="322">
        <v>4052</v>
      </c>
      <c r="J373" s="494">
        <f t="shared" si="47"/>
        <v>-0.30947511929107</v>
      </c>
      <c r="K373" s="326" t="s">
        <v>412</v>
      </c>
      <c r="L373" s="316">
        <f t="shared" si="50"/>
        <v>7</v>
      </c>
      <c r="M373" s="478"/>
    </row>
    <row r="374" s="291" customFormat="1" ht="24.95" customHeight="1" spans="1:13">
      <c r="A374" s="310">
        <v>2110104</v>
      </c>
      <c r="B374" s="321" t="s">
        <v>413</v>
      </c>
      <c r="C374" s="492">
        <v>80</v>
      </c>
      <c r="D374" s="322"/>
      <c r="E374" s="322">
        <f t="shared" si="51"/>
        <v>80</v>
      </c>
      <c r="F374" s="322"/>
      <c r="G374" s="322"/>
      <c r="H374" s="322">
        <f t="shared" si="49"/>
        <v>80</v>
      </c>
      <c r="I374" s="322">
        <v>60</v>
      </c>
      <c r="J374" s="494">
        <f t="shared" si="47"/>
        <v>-0.25</v>
      </c>
      <c r="K374" s="326"/>
      <c r="L374" s="316">
        <f t="shared" si="50"/>
        <v>7</v>
      </c>
      <c r="M374" s="478"/>
    </row>
    <row r="375" s="291" customFormat="1" ht="54.95" customHeight="1" spans="1:13">
      <c r="A375" s="310">
        <v>2110199</v>
      </c>
      <c r="B375" s="321" t="s">
        <v>414</v>
      </c>
      <c r="C375" s="492">
        <v>2914</v>
      </c>
      <c r="D375" s="322"/>
      <c r="E375" s="322">
        <f t="shared" si="51"/>
        <v>2914</v>
      </c>
      <c r="F375" s="322"/>
      <c r="G375" s="322"/>
      <c r="H375" s="322">
        <f t="shared" si="49"/>
        <v>2914</v>
      </c>
      <c r="I375" s="322">
        <v>1708</v>
      </c>
      <c r="J375" s="494">
        <f t="shared" si="47"/>
        <v>-0.413864104323953</v>
      </c>
      <c r="K375" s="326" t="s">
        <v>415</v>
      </c>
      <c r="L375" s="316">
        <f t="shared" si="50"/>
        <v>7</v>
      </c>
      <c r="M375" s="478"/>
    </row>
    <row r="376" s="291" customFormat="1" ht="24.95" customHeight="1" spans="1:13">
      <c r="A376" s="310">
        <v>21102</v>
      </c>
      <c r="B376" s="317" t="s">
        <v>416</v>
      </c>
      <c r="C376" s="489">
        <v>873</v>
      </c>
      <c r="D376" s="490"/>
      <c r="E376" s="318">
        <f t="shared" si="51"/>
        <v>873</v>
      </c>
      <c r="F376" s="490"/>
      <c r="G376" s="490"/>
      <c r="H376" s="318">
        <f t="shared" si="49"/>
        <v>873</v>
      </c>
      <c r="I376" s="318">
        <f t="shared" ref="I376:I380" si="52">I377</f>
        <v>155</v>
      </c>
      <c r="J376" s="491">
        <f t="shared" si="47"/>
        <v>-0.822451317296678</v>
      </c>
      <c r="K376" s="330"/>
      <c r="L376" s="316">
        <f t="shared" si="50"/>
        <v>5</v>
      </c>
      <c r="M376" s="478"/>
    </row>
    <row r="377" s="291" customFormat="1" ht="69" customHeight="1" spans="1:13">
      <c r="A377" s="310">
        <v>2110299</v>
      </c>
      <c r="B377" s="321" t="s">
        <v>417</v>
      </c>
      <c r="C377" s="492">
        <v>873</v>
      </c>
      <c r="D377" s="322"/>
      <c r="E377" s="322">
        <f t="shared" si="51"/>
        <v>873</v>
      </c>
      <c r="F377" s="322"/>
      <c r="G377" s="322"/>
      <c r="H377" s="322">
        <f t="shared" si="49"/>
        <v>873</v>
      </c>
      <c r="I377" s="322">
        <v>155</v>
      </c>
      <c r="J377" s="494">
        <f t="shared" si="47"/>
        <v>-0.822451317296678</v>
      </c>
      <c r="K377" s="326" t="s">
        <v>418</v>
      </c>
      <c r="L377" s="316">
        <f t="shared" si="50"/>
        <v>7</v>
      </c>
      <c r="M377" s="478"/>
    </row>
    <row r="378" s="291" customFormat="1" ht="24.95" customHeight="1" spans="1:13">
      <c r="A378" s="310">
        <v>21103</v>
      </c>
      <c r="B378" s="317" t="s">
        <v>419</v>
      </c>
      <c r="C378" s="489">
        <v>13551</v>
      </c>
      <c r="D378" s="490">
        <v>282400</v>
      </c>
      <c r="E378" s="318">
        <f t="shared" si="51"/>
        <v>295951</v>
      </c>
      <c r="F378" s="490"/>
      <c r="G378" s="490"/>
      <c r="H378" s="318">
        <f t="shared" si="49"/>
        <v>295951</v>
      </c>
      <c r="I378" s="318">
        <f t="shared" si="52"/>
        <v>254029</v>
      </c>
      <c r="J378" s="491">
        <f t="shared" si="47"/>
        <v>-0.141651827498471</v>
      </c>
      <c r="K378" s="330"/>
      <c r="L378" s="316">
        <f t="shared" si="50"/>
        <v>5</v>
      </c>
      <c r="M378" s="478"/>
    </row>
    <row r="379" s="291" customFormat="1" ht="56.1" customHeight="1" spans="1:13">
      <c r="A379" s="310">
        <v>2110302</v>
      </c>
      <c r="B379" s="321" t="s">
        <v>420</v>
      </c>
      <c r="C379" s="492">
        <v>13551</v>
      </c>
      <c r="D379" s="322">
        <v>282400</v>
      </c>
      <c r="E379" s="322">
        <f t="shared" si="51"/>
        <v>295951</v>
      </c>
      <c r="F379" s="322"/>
      <c r="G379" s="322"/>
      <c r="H379" s="322">
        <f t="shared" si="49"/>
        <v>295951</v>
      </c>
      <c r="I379" s="322">
        <v>254029</v>
      </c>
      <c r="J379" s="494">
        <f t="shared" si="47"/>
        <v>-0.141651827498471</v>
      </c>
      <c r="K379" s="326" t="s">
        <v>421</v>
      </c>
      <c r="L379" s="316">
        <f t="shared" si="50"/>
        <v>7</v>
      </c>
      <c r="M379" s="478"/>
    </row>
    <row r="380" s="291" customFormat="1" ht="24.95" customHeight="1" spans="1:13">
      <c r="A380" s="310">
        <v>21111</v>
      </c>
      <c r="B380" s="317" t="s">
        <v>422</v>
      </c>
      <c r="C380" s="489">
        <v>63</v>
      </c>
      <c r="D380" s="490"/>
      <c r="E380" s="318">
        <f t="shared" si="51"/>
        <v>63</v>
      </c>
      <c r="F380" s="490"/>
      <c r="G380" s="490"/>
      <c r="H380" s="318">
        <f t="shared" si="49"/>
        <v>63</v>
      </c>
      <c r="I380" s="318">
        <f t="shared" si="52"/>
        <v>13</v>
      </c>
      <c r="J380" s="491">
        <f t="shared" si="47"/>
        <v>-0.793650793650794</v>
      </c>
      <c r="K380" s="330"/>
      <c r="L380" s="316">
        <f t="shared" si="50"/>
        <v>5</v>
      </c>
      <c r="M380" s="478"/>
    </row>
    <row r="381" s="291" customFormat="1" ht="54" customHeight="1" spans="1:13">
      <c r="A381" s="310">
        <v>2111199</v>
      </c>
      <c r="B381" s="321" t="s">
        <v>423</v>
      </c>
      <c r="C381" s="492">
        <v>63</v>
      </c>
      <c r="D381" s="322"/>
      <c r="E381" s="322">
        <f t="shared" si="51"/>
        <v>63</v>
      </c>
      <c r="F381" s="322"/>
      <c r="G381" s="322"/>
      <c r="H381" s="322">
        <f t="shared" si="49"/>
        <v>63</v>
      </c>
      <c r="I381" s="322">
        <v>13</v>
      </c>
      <c r="J381" s="494">
        <f t="shared" si="47"/>
        <v>-0.793650793650794</v>
      </c>
      <c r="K381" s="326" t="s">
        <v>424</v>
      </c>
      <c r="L381" s="316">
        <f t="shared" si="50"/>
        <v>7</v>
      </c>
      <c r="M381" s="478"/>
    </row>
    <row r="382" s="291" customFormat="1" ht="24.95" customHeight="1" spans="1:13">
      <c r="A382" s="310">
        <v>21113</v>
      </c>
      <c r="B382" s="317" t="s">
        <v>425</v>
      </c>
      <c r="C382" s="489">
        <v>1300</v>
      </c>
      <c r="D382" s="490"/>
      <c r="E382" s="318">
        <f t="shared" si="51"/>
        <v>1300</v>
      </c>
      <c r="F382" s="490"/>
      <c r="G382" s="490"/>
      <c r="H382" s="318">
        <f t="shared" si="49"/>
        <v>1300</v>
      </c>
      <c r="I382" s="318">
        <f>I383</f>
        <v>1299</v>
      </c>
      <c r="J382" s="491">
        <f t="shared" si="47"/>
        <v>-0.000769230769230744</v>
      </c>
      <c r="K382" s="330"/>
      <c r="L382" s="316">
        <f t="shared" si="50"/>
        <v>5</v>
      </c>
      <c r="M382" s="478"/>
    </row>
    <row r="383" s="291" customFormat="1" ht="24.95" customHeight="1" spans="1:13">
      <c r="A383" s="310">
        <v>2111301</v>
      </c>
      <c r="B383" s="321" t="s">
        <v>426</v>
      </c>
      <c r="C383" s="492">
        <v>1300</v>
      </c>
      <c r="D383" s="322"/>
      <c r="E383" s="322">
        <f t="shared" si="51"/>
        <v>1300</v>
      </c>
      <c r="F383" s="322"/>
      <c r="G383" s="322"/>
      <c r="H383" s="322">
        <f t="shared" si="49"/>
        <v>1300</v>
      </c>
      <c r="I383" s="322">
        <v>1299</v>
      </c>
      <c r="J383" s="494">
        <f t="shared" si="47"/>
        <v>-0.000769230769230744</v>
      </c>
      <c r="K383" s="326"/>
      <c r="L383" s="316">
        <f t="shared" si="50"/>
        <v>7</v>
      </c>
      <c r="M383" s="478"/>
    </row>
    <row r="384" s="291" customFormat="1" ht="24.95" customHeight="1" spans="1:13">
      <c r="A384" s="310">
        <v>212</v>
      </c>
      <c r="B384" s="311" t="s">
        <v>427</v>
      </c>
      <c r="C384" s="487">
        <v>652880</v>
      </c>
      <c r="D384" s="313">
        <v>24200</v>
      </c>
      <c r="E384" s="312">
        <f t="shared" si="51"/>
        <v>677080</v>
      </c>
      <c r="F384" s="313"/>
      <c r="G384" s="313"/>
      <c r="H384" s="312">
        <f t="shared" si="49"/>
        <v>677080</v>
      </c>
      <c r="I384" s="312">
        <f>I385+I392+I394+I397+I399+I401</f>
        <v>754809</v>
      </c>
      <c r="J384" s="488">
        <f t="shared" si="47"/>
        <v>0.114800319016955</v>
      </c>
      <c r="K384" s="313"/>
      <c r="L384" s="316">
        <f t="shared" si="50"/>
        <v>3</v>
      </c>
      <c r="M384" s="478"/>
    </row>
    <row r="385" s="291" customFormat="1" ht="24.95" customHeight="1" spans="1:13">
      <c r="A385" s="310">
        <v>21201</v>
      </c>
      <c r="B385" s="317" t="s">
        <v>428</v>
      </c>
      <c r="C385" s="489">
        <v>79032</v>
      </c>
      <c r="D385" s="490"/>
      <c r="E385" s="318">
        <f t="shared" si="51"/>
        <v>79032</v>
      </c>
      <c r="F385" s="490"/>
      <c r="G385" s="490"/>
      <c r="H385" s="318">
        <f t="shared" si="49"/>
        <v>79032</v>
      </c>
      <c r="I385" s="318">
        <f>SUM(I386:I391)</f>
        <v>83001</v>
      </c>
      <c r="J385" s="491">
        <f t="shared" si="47"/>
        <v>0.050220163984209</v>
      </c>
      <c r="K385" s="330"/>
      <c r="L385" s="316">
        <f t="shared" si="50"/>
        <v>5</v>
      </c>
      <c r="M385" s="478"/>
    </row>
    <row r="386" s="291" customFormat="1" ht="24.95" customHeight="1" spans="1:13">
      <c r="A386" s="310">
        <v>2120101</v>
      </c>
      <c r="B386" s="321" t="s">
        <v>49</v>
      </c>
      <c r="C386" s="492">
        <v>10285</v>
      </c>
      <c r="D386" s="322"/>
      <c r="E386" s="322">
        <f t="shared" si="51"/>
        <v>10285</v>
      </c>
      <c r="F386" s="322"/>
      <c r="G386" s="322"/>
      <c r="H386" s="322">
        <f t="shared" si="49"/>
        <v>10285</v>
      </c>
      <c r="I386" s="322">
        <v>11867</v>
      </c>
      <c r="J386" s="494">
        <f t="shared" si="47"/>
        <v>0.153816237238697</v>
      </c>
      <c r="K386" s="326"/>
      <c r="L386" s="316">
        <f t="shared" si="50"/>
        <v>7</v>
      </c>
      <c r="M386" s="478"/>
    </row>
    <row r="387" s="291" customFormat="1" ht="24.95" customHeight="1" spans="1:13">
      <c r="A387" s="310">
        <v>2120102</v>
      </c>
      <c r="B387" s="321" t="s">
        <v>50</v>
      </c>
      <c r="C387" s="492">
        <v>6334</v>
      </c>
      <c r="D387" s="322"/>
      <c r="E387" s="322">
        <f t="shared" si="51"/>
        <v>6334</v>
      </c>
      <c r="F387" s="322"/>
      <c r="G387" s="322"/>
      <c r="H387" s="322">
        <f t="shared" si="49"/>
        <v>6334</v>
      </c>
      <c r="I387" s="322">
        <v>6737</v>
      </c>
      <c r="J387" s="494">
        <f t="shared" ref="J387:J441" si="53">I387/H387-1</f>
        <v>0.0636248815914113</v>
      </c>
      <c r="K387" s="326"/>
      <c r="L387" s="316">
        <f t="shared" si="50"/>
        <v>7</v>
      </c>
      <c r="M387" s="478"/>
    </row>
    <row r="388" s="291" customFormat="1" ht="24.95" customHeight="1" spans="1:13">
      <c r="A388" s="310">
        <v>2120104</v>
      </c>
      <c r="B388" s="321" t="s">
        <v>429</v>
      </c>
      <c r="C388" s="492">
        <v>38734</v>
      </c>
      <c r="D388" s="322"/>
      <c r="E388" s="322">
        <f t="shared" si="51"/>
        <v>38734</v>
      </c>
      <c r="F388" s="322"/>
      <c r="G388" s="322"/>
      <c r="H388" s="322">
        <f t="shared" si="49"/>
        <v>38734</v>
      </c>
      <c r="I388" s="322">
        <v>38875</v>
      </c>
      <c r="J388" s="494">
        <f t="shared" si="53"/>
        <v>0.00364021273299953</v>
      </c>
      <c r="K388" s="326"/>
      <c r="L388" s="316">
        <f t="shared" si="50"/>
        <v>7</v>
      </c>
      <c r="M388" s="478"/>
    </row>
    <row r="389" s="291" customFormat="1" ht="41.1" customHeight="1" spans="1:13">
      <c r="A389" s="310">
        <v>2120105</v>
      </c>
      <c r="B389" s="321" t="s">
        <v>430</v>
      </c>
      <c r="C389" s="492">
        <v>1431</v>
      </c>
      <c r="D389" s="322"/>
      <c r="E389" s="322">
        <f t="shared" si="51"/>
        <v>1431</v>
      </c>
      <c r="F389" s="322"/>
      <c r="G389" s="322"/>
      <c r="H389" s="322">
        <f t="shared" si="49"/>
        <v>1431</v>
      </c>
      <c r="I389" s="322">
        <v>1500</v>
      </c>
      <c r="J389" s="494">
        <f t="shared" si="53"/>
        <v>0.0482180293501049</v>
      </c>
      <c r="K389" s="326"/>
      <c r="L389" s="316">
        <f t="shared" si="50"/>
        <v>7</v>
      </c>
      <c r="M389" s="478"/>
    </row>
    <row r="390" s="291" customFormat="1" ht="24.95" customHeight="1" spans="1:13">
      <c r="A390" s="310">
        <v>2120106</v>
      </c>
      <c r="B390" s="321" t="s">
        <v>431</v>
      </c>
      <c r="C390" s="492">
        <v>20561</v>
      </c>
      <c r="D390" s="322"/>
      <c r="E390" s="322">
        <f t="shared" si="51"/>
        <v>20561</v>
      </c>
      <c r="F390" s="322"/>
      <c r="G390" s="322"/>
      <c r="H390" s="322">
        <f t="shared" si="49"/>
        <v>20561</v>
      </c>
      <c r="I390" s="322">
        <v>22277</v>
      </c>
      <c r="J390" s="494">
        <f t="shared" si="53"/>
        <v>0.0834589757307524</v>
      </c>
      <c r="K390" s="326"/>
      <c r="L390" s="316">
        <f t="shared" si="50"/>
        <v>7</v>
      </c>
      <c r="M390" s="478"/>
    </row>
    <row r="391" s="291" customFormat="1" ht="42" customHeight="1" spans="1:13">
      <c r="A391" s="310">
        <v>2120199</v>
      </c>
      <c r="B391" s="321" t="s">
        <v>432</v>
      </c>
      <c r="C391" s="492">
        <v>1687</v>
      </c>
      <c r="D391" s="322"/>
      <c r="E391" s="322">
        <f t="shared" si="51"/>
        <v>1687</v>
      </c>
      <c r="F391" s="322"/>
      <c r="G391" s="322"/>
      <c r="H391" s="322">
        <f t="shared" si="49"/>
        <v>1687</v>
      </c>
      <c r="I391" s="322">
        <v>1745</v>
      </c>
      <c r="J391" s="494">
        <f t="shared" si="53"/>
        <v>0.0343805572021341</v>
      </c>
      <c r="K391" s="326"/>
      <c r="L391" s="316">
        <f t="shared" si="50"/>
        <v>7</v>
      </c>
      <c r="M391" s="478"/>
    </row>
    <row r="392" s="291" customFormat="1" ht="41.1" customHeight="1" spans="1:13">
      <c r="A392" s="310">
        <v>21202</v>
      </c>
      <c r="B392" s="332" t="s">
        <v>433</v>
      </c>
      <c r="C392" s="489"/>
      <c r="D392" s="490"/>
      <c r="E392" s="318"/>
      <c r="F392" s="490"/>
      <c r="G392" s="490"/>
      <c r="H392" s="318">
        <f t="shared" si="49"/>
        <v>0</v>
      </c>
      <c r="I392" s="318">
        <f>I393</f>
        <v>5158</v>
      </c>
      <c r="J392" s="496">
        <v>0</v>
      </c>
      <c r="K392" s="330"/>
      <c r="L392" s="316">
        <f t="shared" si="50"/>
        <v>5</v>
      </c>
      <c r="M392" s="478"/>
    </row>
    <row r="393" s="291" customFormat="1" ht="36" customHeight="1" spans="1:13">
      <c r="A393" s="310">
        <v>2120201</v>
      </c>
      <c r="B393" s="327" t="s">
        <v>434</v>
      </c>
      <c r="C393" s="492"/>
      <c r="D393" s="322"/>
      <c r="E393" s="322"/>
      <c r="F393" s="322"/>
      <c r="G393" s="322"/>
      <c r="H393" s="322">
        <f t="shared" si="49"/>
        <v>0</v>
      </c>
      <c r="I393" s="322">
        <v>5158</v>
      </c>
      <c r="J393" s="495">
        <v>0</v>
      </c>
      <c r="K393" s="326" t="s">
        <v>435</v>
      </c>
      <c r="L393" s="316">
        <f t="shared" si="50"/>
        <v>7</v>
      </c>
      <c r="M393" s="478"/>
    </row>
    <row r="394" s="291" customFormat="1" ht="24.95" customHeight="1" spans="1:13">
      <c r="A394" s="310">
        <v>21203</v>
      </c>
      <c r="B394" s="317" t="s">
        <v>436</v>
      </c>
      <c r="C394" s="489">
        <v>67089</v>
      </c>
      <c r="D394" s="490">
        <v>24200</v>
      </c>
      <c r="E394" s="318">
        <f t="shared" ref="E394:E402" si="54">C394+D394</f>
        <v>91289</v>
      </c>
      <c r="F394" s="490"/>
      <c r="G394" s="490"/>
      <c r="H394" s="318">
        <f t="shared" si="49"/>
        <v>91289</v>
      </c>
      <c r="I394" s="318">
        <f>SUM(I395:I396)</f>
        <v>102877</v>
      </c>
      <c r="J394" s="491">
        <f t="shared" si="53"/>
        <v>0.126937528070195</v>
      </c>
      <c r="K394" s="330"/>
      <c r="L394" s="316">
        <f t="shared" si="50"/>
        <v>5</v>
      </c>
      <c r="M394" s="478"/>
    </row>
    <row r="395" s="291" customFormat="1" ht="83.25" customHeight="1" spans="1:13">
      <c r="A395" s="310">
        <v>2120303</v>
      </c>
      <c r="B395" s="321" t="s">
        <v>437</v>
      </c>
      <c r="C395" s="492">
        <v>47105</v>
      </c>
      <c r="D395" s="322"/>
      <c r="E395" s="322">
        <f t="shared" si="54"/>
        <v>47105</v>
      </c>
      <c r="F395" s="322"/>
      <c r="G395" s="322"/>
      <c r="H395" s="322">
        <f t="shared" si="49"/>
        <v>47105</v>
      </c>
      <c r="I395" s="322">
        <v>54775</v>
      </c>
      <c r="J395" s="494">
        <f t="shared" si="53"/>
        <v>0.162827725294555</v>
      </c>
      <c r="K395" s="326" t="s">
        <v>438</v>
      </c>
      <c r="L395" s="316">
        <f t="shared" si="50"/>
        <v>7</v>
      </c>
      <c r="M395" s="478"/>
    </row>
    <row r="396" s="291" customFormat="1" ht="34.5" customHeight="1" spans="1:13">
      <c r="A396" s="310">
        <v>2120399</v>
      </c>
      <c r="B396" s="321" t="s">
        <v>439</v>
      </c>
      <c r="C396" s="492">
        <v>19984</v>
      </c>
      <c r="D396" s="322">
        <v>24200</v>
      </c>
      <c r="E396" s="322">
        <f t="shared" si="54"/>
        <v>44184</v>
      </c>
      <c r="F396" s="322"/>
      <c r="G396" s="322"/>
      <c r="H396" s="322">
        <f t="shared" si="49"/>
        <v>44184</v>
      </c>
      <c r="I396" s="322">
        <v>48102</v>
      </c>
      <c r="J396" s="494">
        <f t="shared" si="53"/>
        <v>0.0886746333514394</v>
      </c>
      <c r="K396" s="326" t="s">
        <v>440</v>
      </c>
      <c r="L396" s="316">
        <f t="shared" si="50"/>
        <v>7</v>
      </c>
      <c r="M396" s="478"/>
    </row>
    <row r="397" s="291" customFormat="1" ht="24.95" customHeight="1" spans="1:13">
      <c r="A397" s="310">
        <v>21205</v>
      </c>
      <c r="B397" s="317" t="s">
        <v>441</v>
      </c>
      <c r="C397" s="489">
        <v>162960</v>
      </c>
      <c r="D397" s="490"/>
      <c r="E397" s="318">
        <f t="shared" si="54"/>
        <v>162960</v>
      </c>
      <c r="F397" s="490"/>
      <c r="G397" s="490"/>
      <c r="H397" s="318">
        <f t="shared" si="49"/>
        <v>162960</v>
      </c>
      <c r="I397" s="318">
        <f t="shared" ref="I397:I401" si="55">I398</f>
        <v>164420</v>
      </c>
      <c r="J397" s="491">
        <f t="shared" si="53"/>
        <v>0.0089592538046146</v>
      </c>
      <c r="K397" s="330"/>
      <c r="L397" s="316">
        <f t="shared" si="50"/>
        <v>5</v>
      </c>
      <c r="M397" s="478"/>
    </row>
    <row r="398" s="291" customFormat="1" ht="24.95" customHeight="1" spans="1:13">
      <c r="A398" s="310">
        <v>2120501</v>
      </c>
      <c r="B398" s="321" t="s">
        <v>442</v>
      </c>
      <c r="C398" s="492">
        <v>162960</v>
      </c>
      <c r="D398" s="322"/>
      <c r="E398" s="322">
        <f t="shared" si="54"/>
        <v>162960</v>
      </c>
      <c r="F398" s="322"/>
      <c r="G398" s="322"/>
      <c r="H398" s="322">
        <f t="shared" si="49"/>
        <v>162960</v>
      </c>
      <c r="I398" s="322">
        <v>164420</v>
      </c>
      <c r="J398" s="494">
        <f t="shared" si="53"/>
        <v>0.0089592538046146</v>
      </c>
      <c r="K398" s="326"/>
      <c r="L398" s="316">
        <f t="shared" si="50"/>
        <v>7</v>
      </c>
      <c r="M398" s="478"/>
    </row>
    <row r="399" s="291" customFormat="1" ht="41.1" customHeight="1" spans="1:13">
      <c r="A399" s="310">
        <v>21206</v>
      </c>
      <c r="B399" s="317" t="s">
        <v>443</v>
      </c>
      <c r="C399" s="489">
        <v>5317</v>
      </c>
      <c r="D399" s="490"/>
      <c r="E399" s="318">
        <f t="shared" si="54"/>
        <v>5317</v>
      </c>
      <c r="F399" s="490"/>
      <c r="G399" s="490"/>
      <c r="H399" s="318">
        <f t="shared" si="49"/>
        <v>5317</v>
      </c>
      <c r="I399" s="318">
        <f t="shared" si="55"/>
        <v>4557</v>
      </c>
      <c r="J399" s="491">
        <f t="shared" si="53"/>
        <v>-0.142937746849727</v>
      </c>
      <c r="K399" s="330"/>
      <c r="L399" s="316">
        <f t="shared" si="50"/>
        <v>5</v>
      </c>
      <c r="M399" s="478"/>
    </row>
    <row r="400" s="291" customFormat="1" ht="24.95" customHeight="1" spans="1:13">
      <c r="A400" s="310">
        <v>2120601</v>
      </c>
      <c r="B400" s="321" t="s">
        <v>444</v>
      </c>
      <c r="C400" s="492">
        <v>5317</v>
      </c>
      <c r="D400" s="322"/>
      <c r="E400" s="322">
        <f t="shared" si="54"/>
        <v>5317</v>
      </c>
      <c r="F400" s="322"/>
      <c r="G400" s="322"/>
      <c r="H400" s="322">
        <f t="shared" si="49"/>
        <v>5317</v>
      </c>
      <c r="I400" s="322">
        <v>4557</v>
      </c>
      <c r="J400" s="494">
        <f t="shared" si="53"/>
        <v>-0.142937746849727</v>
      </c>
      <c r="K400" s="326"/>
      <c r="L400" s="316">
        <f t="shared" si="50"/>
        <v>7</v>
      </c>
      <c r="M400" s="478"/>
    </row>
    <row r="401" s="291" customFormat="1" ht="24.95" customHeight="1" spans="1:13">
      <c r="A401" s="310">
        <v>21299</v>
      </c>
      <c r="B401" s="317" t="s">
        <v>445</v>
      </c>
      <c r="C401" s="489">
        <v>338482</v>
      </c>
      <c r="D401" s="490"/>
      <c r="E401" s="318">
        <f t="shared" si="54"/>
        <v>338482</v>
      </c>
      <c r="F401" s="490"/>
      <c r="G401" s="490"/>
      <c r="H401" s="318">
        <f t="shared" si="49"/>
        <v>338482</v>
      </c>
      <c r="I401" s="318">
        <f t="shared" si="55"/>
        <v>394796</v>
      </c>
      <c r="J401" s="491">
        <f t="shared" si="53"/>
        <v>0.166372214770653</v>
      </c>
      <c r="K401" s="330"/>
      <c r="L401" s="316">
        <f t="shared" si="50"/>
        <v>5</v>
      </c>
      <c r="M401" s="478"/>
    </row>
    <row r="402" s="291" customFormat="1" ht="118.5" customHeight="1" spans="1:13">
      <c r="A402" s="310">
        <v>2129901</v>
      </c>
      <c r="B402" s="321" t="s">
        <v>446</v>
      </c>
      <c r="C402" s="492">
        <v>338482</v>
      </c>
      <c r="D402" s="322"/>
      <c r="E402" s="322">
        <f t="shared" si="54"/>
        <v>338482</v>
      </c>
      <c r="F402" s="322"/>
      <c r="G402" s="322"/>
      <c r="H402" s="322">
        <f t="shared" si="49"/>
        <v>338482</v>
      </c>
      <c r="I402" s="322">
        <v>394796</v>
      </c>
      <c r="J402" s="494">
        <f t="shared" si="53"/>
        <v>0.166372214770653</v>
      </c>
      <c r="K402" s="326" t="s">
        <v>447</v>
      </c>
      <c r="L402" s="316">
        <f t="shared" si="50"/>
        <v>7</v>
      </c>
      <c r="M402" s="478"/>
    </row>
    <row r="403" s="291" customFormat="1" ht="24.95" customHeight="1" spans="1:13">
      <c r="A403" s="310">
        <v>2129999</v>
      </c>
      <c r="B403" s="327" t="s">
        <v>448</v>
      </c>
      <c r="C403" s="492"/>
      <c r="D403" s="322"/>
      <c r="E403" s="322">
        <v>0</v>
      </c>
      <c r="F403" s="322"/>
      <c r="G403" s="322"/>
      <c r="H403" s="322">
        <f t="shared" si="49"/>
        <v>0</v>
      </c>
      <c r="I403" s="322">
        <v>0</v>
      </c>
      <c r="J403" s="495">
        <v>0</v>
      </c>
      <c r="K403" s="326"/>
      <c r="L403" s="316">
        <f t="shared" si="50"/>
        <v>7</v>
      </c>
      <c r="M403" s="478"/>
    </row>
    <row r="404" s="291" customFormat="1" ht="24.95" customHeight="1" spans="1:13">
      <c r="A404" s="310">
        <v>213</v>
      </c>
      <c r="B404" s="311" t="s">
        <v>449</v>
      </c>
      <c r="C404" s="487">
        <v>42409</v>
      </c>
      <c r="D404" s="487">
        <f>82200+2000</f>
        <v>84200</v>
      </c>
      <c r="E404" s="312">
        <f t="shared" ref="E404:E412" si="56">C404+D404</f>
        <v>126609</v>
      </c>
      <c r="F404" s="313"/>
      <c r="G404" s="313"/>
      <c r="H404" s="312">
        <f t="shared" si="49"/>
        <v>126609</v>
      </c>
      <c r="I404" s="312">
        <f>I405+I415+I423+I431+I433</f>
        <v>62460</v>
      </c>
      <c r="J404" s="488">
        <f t="shared" si="53"/>
        <v>-0.506670141933038</v>
      </c>
      <c r="K404" s="313"/>
      <c r="L404" s="316">
        <f t="shared" si="50"/>
        <v>3</v>
      </c>
      <c r="M404" s="478"/>
    </row>
    <row r="405" s="291" customFormat="1" ht="24.95" customHeight="1" spans="1:13">
      <c r="A405" s="310">
        <v>21301</v>
      </c>
      <c r="B405" s="317" t="s">
        <v>450</v>
      </c>
      <c r="C405" s="489">
        <v>6324</v>
      </c>
      <c r="D405" s="490"/>
      <c r="E405" s="318">
        <f t="shared" si="56"/>
        <v>6324</v>
      </c>
      <c r="F405" s="490"/>
      <c r="G405" s="490"/>
      <c r="H405" s="318">
        <f t="shared" si="49"/>
        <v>6324</v>
      </c>
      <c r="I405" s="318">
        <f>SUM(I406:I414)</f>
        <v>5080</v>
      </c>
      <c r="J405" s="491">
        <f t="shared" si="53"/>
        <v>-0.196710942441493</v>
      </c>
      <c r="K405" s="330"/>
      <c r="L405" s="316">
        <f t="shared" si="50"/>
        <v>5</v>
      </c>
      <c r="M405" s="478"/>
    </row>
    <row r="406" s="291" customFormat="1" ht="24.95" customHeight="1" spans="1:13">
      <c r="A406" s="310">
        <v>2130101</v>
      </c>
      <c r="B406" s="321" t="s">
        <v>49</v>
      </c>
      <c r="C406" s="492">
        <v>1233</v>
      </c>
      <c r="D406" s="322"/>
      <c r="E406" s="322">
        <f t="shared" si="56"/>
        <v>1233</v>
      </c>
      <c r="F406" s="322"/>
      <c r="G406" s="322"/>
      <c r="H406" s="322">
        <f t="shared" si="49"/>
        <v>1233</v>
      </c>
      <c r="I406" s="322">
        <v>1260</v>
      </c>
      <c r="J406" s="494">
        <f t="shared" si="53"/>
        <v>0.0218978102189782</v>
      </c>
      <c r="K406" s="326"/>
      <c r="L406" s="316">
        <f t="shared" si="50"/>
        <v>7</v>
      </c>
      <c r="M406" s="478"/>
    </row>
    <row r="407" s="291" customFormat="1" ht="24.95" customHeight="1" spans="1:13">
      <c r="A407" s="310">
        <v>2130102</v>
      </c>
      <c r="B407" s="321" t="s">
        <v>50</v>
      </c>
      <c r="C407" s="492">
        <v>225</v>
      </c>
      <c r="D407" s="322"/>
      <c r="E407" s="322">
        <f t="shared" si="56"/>
        <v>225</v>
      </c>
      <c r="F407" s="322"/>
      <c r="G407" s="322"/>
      <c r="H407" s="322">
        <f t="shared" si="49"/>
        <v>225</v>
      </c>
      <c r="I407" s="322">
        <v>189</v>
      </c>
      <c r="J407" s="494">
        <f t="shared" si="53"/>
        <v>-0.16</v>
      </c>
      <c r="K407" s="326"/>
      <c r="L407" s="316">
        <f t="shared" si="50"/>
        <v>7</v>
      </c>
      <c r="M407" s="478"/>
    </row>
    <row r="408" s="291" customFormat="1" ht="24.95" customHeight="1" spans="1:13">
      <c r="A408" s="310">
        <v>2130104</v>
      </c>
      <c r="B408" s="321" t="s">
        <v>65</v>
      </c>
      <c r="C408" s="492">
        <v>1426</v>
      </c>
      <c r="D408" s="322"/>
      <c r="E408" s="322">
        <f t="shared" si="56"/>
        <v>1426</v>
      </c>
      <c r="F408" s="322"/>
      <c r="G408" s="322"/>
      <c r="H408" s="322">
        <f t="shared" si="49"/>
        <v>1426</v>
      </c>
      <c r="I408" s="322">
        <v>1551</v>
      </c>
      <c r="J408" s="494">
        <f t="shared" si="53"/>
        <v>0.0876577840112203</v>
      </c>
      <c r="K408" s="326"/>
      <c r="L408" s="316">
        <f t="shared" si="50"/>
        <v>7</v>
      </c>
      <c r="M408" s="478"/>
    </row>
    <row r="409" s="291" customFormat="1" ht="54" customHeight="1" spans="1:13">
      <c r="A409" s="310">
        <v>2130106</v>
      </c>
      <c r="B409" s="321" t="s">
        <v>451</v>
      </c>
      <c r="C409" s="492">
        <v>557</v>
      </c>
      <c r="D409" s="322"/>
      <c r="E409" s="322">
        <f t="shared" si="56"/>
        <v>557</v>
      </c>
      <c r="F409" s="322"/>
      <c r="G409" s="322"/>
      <c r="H409" s="322">
        <f t="shared" ref="H409:H416" si="57">E409-F409-G409</f>
        <v>557</v>
      </c>
      <c r="I409" s="322">
        <v>230</v>
      </c>
      <c r="J409" s="494">
        <f t="shared" si="53"/>
        <v>-0.587073608617594</v>
      </c>
      <c r="K409" s="326" t="s">
        <v>452</v>
      </c>
      <c r="L409" s="316">
        <f t="shared" ref="L409:L416" si="58">LEN(A409)</f>
        <v>7</v>
      </c>
      <c r="M409" s="478"/>
    </row>
    <row r="410" s="291" customFormat="1" ht="24.95" customHeight="1" spans="1:13">
      <c r="A410" s="310">
        <v>2130108</v>
      </c>
      <c r="B410" s="321" t="s">
        <v>453</v>
      </c>
      <c r="C410" s="492">
        <v>475</v>
      </c>
      <c r="D410" s="322"/>
      <c r="E410" s="322">
        <f t="shared" si="56"/>
        <v>475</v>
      </c>
      <c r="F410" s="322"/>
      <c r="G410" s="322"/>
      <c r="H410" s="322">
        <f t="shared" si="57"/>
        <v>475</v>
      </c>
      <c r="I410" s="322">
        <v>374</v>
      </c>
      <c r="J410" s="494">
        <f t="shared" si="53"/>
        <v>-0.212631578947368</v>
      </c>
      <c r="K410" s="326"/>
      <c r="L410" s="316">
        <f t="shared" si="58"/>
        <v>7</v>
      </c>
      <c r="M410" s="478"/>
    </row>
    <row r="411" s="291" customFormat="1" ht="24.95" customHeight="1" spans="1:13">
      <c r="A411" s="310">
        <v>2130109</v>
      </c>
      <c r="B411" s="321" t="s">
        <v>454</v>
      </c>
      <c r="C411" s="492">
        <v>46</v>
      </c>
      <c r="D411" s="322"/>
      <c r="E411" s="322">
        <f t="shared" si="56"/>
        <v>46</v>
      </c>
      <c r="F411" s="322"/>
      <c r="G411" s="322"/>
      <c r="H411" s="322">
        <f t="shared" si="57"/>
        <v>46</v>
      </c>
      <c r="I411" s="322">
        <v>34</v>
      </c>
      <c r="J411" s="494">
        <f t="shared" si="53"/>
        <v>-0.260869565217391</v>
      </c>
      <c r="K411" s="326"/>
      <c r="L411" s="316">
        <f t="shared" si="58"/>
        <v>7</v>
      </c>
      <c r="M411" s="478"/>
    </row>
    <row r="412" s="291" customFormat="1" ht="24.95" customHeight="1" spans="1:13">
      <c r="A412" s="310">
        <v>2130110</v>
      </c>
      <c r="B412" s="321" t="s">
        <v>455</v>
      </c>
      <c r="C412" s="492">
        <v>65</v>
      </c>
      <c r="D412" s="322"/>
      <c r="E412" s="322">
        <f t="shared" si="56"/>
        <v>65</v>
      </c>
      <c r="F412" s="322"/>
      <c r="G412" s="322"/>
      <c r="H412" s="322">
        <f t="shared" si="57"/>
        <v>65</v>
      </c>
      <c r="I412" s="322">
        <v>60</v>
      </c>
      <c r="J412" s="494">
        <f t="shared" si="53"/>
        <v>-0.0769230769230769</v>
      </c>
      <c r="K412" s="326"/>
      <c r="L412" s="316">
        <f t="shared" si="58"/>
        <v>7</v>
      </c>
      <c r="M412" s="478"/>
    </row>
    <row r="413" s="291" customFormat="1" ht="24.95" customHeight="1" spans="1:13">
      <c r="A413" s="310">
        <v>2130135</v>
      </c>
      <c r="B413" s="327" t="s">
        <v>456</v>
      </c>
      <c r="C413" s="492"/>
      <c r="D413" s="322"/>
      <c r="E413" s="322"/>
      <c r="F413" s="322"/>
      <c r="G413" s="322"/>
      <c r="H413" s="322">
        <f t="shared" si="57"/>
        <v>0</v>
      </c>
      <c r="I413" s="322"/>
      <c r="J413" s="495">
        <v>0</v>
      </c>
      <c r="K413" s="326"/>
      <c r="L413" s="316">
        <f t="shared" si="58"/>
        <v>7</v>
      </c>
      <c r="M413" s="478"/>
    </row>
    <row r="414" s="291" customFormat="1" ht="62.25" customHeight="1" spans="1:13">
      <c r="A414" s="310">
        <v>2130199</v>
      </c>
      <c r="B414" s="321" t="s">
        <v>457</v>
      </c>
      <c r="C414" s="492">
        <v>2297</v>
      </c>
      <c r="D414" s="322"/>
      <c r="E414" s="322">
        <f t="shared" ref="E414:E416" si="59">C414+D414</f>
        <v>2297</v>
      </c>
      <c r="F414" s="322"/>
      <c r="G414" s="322"/>
      <c r="H414" s="322">
        <f t="shared" si="57"/>
        <v>2297</v>
      </c>
      <c r="I414" s="322">
        <v>1382</v>
      </c>
      <c r="J414" s="494">
        <f t="shared" si="53"/>
        <v>-0.398345668262952</v>
      </c>
      <c r="K414" s="326" t="s">
        <v>458</v>
      </c>
      <c r="L414" s="316">
        <f t="shared" si="58"/>
        <v>7</v>
      </c>
      <c r="M414" s="478"/>
    </row>
    <row r="415" s="291" customFormat="1" ht="24.95" customHeight="1" spans="1:13">
      <c r="A415" s="310">
        <v>21302</v>
      </c>
      <c r="B415" s="317" t="s">
        <v>459</v>
      </c>
      <c r="C415" s="489">
        <v>3811</v>
      </c>
      <c r="D415" s="490"/>
      <c r="E415" s="318">
        <f t="shared" si="59"/>
        <v>3811</v>
      </c>
      <c r="F415" s="490"/>
      <c r="G415" s="490"/>
      <c r="H415" s="318">
        <f t="shared" si="57"/>
        <v>3811</v>
      </c>
      <c r="I415" s="318">
        <f>SUM(I416:I422)</f>
        <v>3652</v>
      </c>
      <c r="J415" s="491">
        <f t="shared" si="53"/>
        <v>-0.0417213329834689</v>
      </c>
      <c r="K415" s="330"/>
      <c r="L415" s="316">
        <f t="shared" si="58"/>
        <v>5</v>
      </c>
      <c r="M415" s="478"/>
    </row>
    <row r="416" s="291" customFormat="1" ht="24.95" customHeight="1" spans="1:13">
      <c r="A416" s="310">
        <v>2130201</v>
      </c>
      <c r="B416" s="321" t="s">
        <v>49</v>
      </c>
      <c r="C416" s="492">
        <v>938</v>
      </c>
      <c r="D416" s="322"/>
      <c r="E416" s="322">
        <f t="shared" si="59"/>
        <v>938</v>
      </c>
      <c r="F416" s="322"/>
      <c r="G416" s="322"/>
      <c r="H416" s="322">
        <f t="shared" si="57"/>
        <v>938</v>
      </c>
      <c r="I416" s="322">
        <v>740</v>
      </c>
      <c r="J416" s="494">
        <f t="shared" si="53"/>
        <v>-0.211087420042644</v>
      </c>
      <c r="K416" s="326"/>
      <c r="L416" s="316">
        <f t="shared" si="58"/>
        <v>7</v>
      </c>
      <c r="M416" s="478"/>
    </row>
    <row r="417" s="291" customFormat="1" ht="24.95" customHeight="1" spans="1:13">
      <c r="A417" s="310">
        <v>2130205</v>
      </c>
      <c r="B417" s="321" t="s">
        <v>460</v>
      </c>
      <c r="C417" s="492"/>
      <c r="D417" s="322"/>
      <c r="E417" s="322">
        <v>0</v>
      </c>
      <c r="F417" s="322"/>
      <c r="G417" s="322"/>
      <c r="H417" s="322">
        <v>0</v>
      </c>
      <c r="I417" s="322">
        <v>641</v>
      </c>
      <c r="J417" s="495">
        <v>0</v>
      </c>
      <c r="K417" s="326"/>
      <c r="L417" s="316"/>
      <c r="M417" s="478"/>
    </row>
    <row r="418" s="291" customFormat="1" ht="24.95" customHeight="1" spans="1:13">
      <c r="A418" s="310">
        <v>2130211</v>
      </c>
      <c r="B418" s="321" t="s">
        <v>461</v>
      </c>
      <c r="C418" s="492">
        <v>26</v>
      </c>
      <c r="D418" s="322"/>
      <c r="E418" s="322">
        <f t="shared" ref="E418:E438" si="60">C418+D418</f>
        <v>26</v>
      </c>
      <c r="F418" s="322"/>
      <c r="G418" s="322"/>
      <c r="H418" s="322">
        <f t="shared" ref="H418:H441" si="61">E418-F418-G418</f>
        <v>26</v>
      </c>
      <c r="I418" s="322">
        <v>52</v>
      </c>
      <c r="J418" s="494">
        <f t="shared" si="53"/>
        <v>1</v>
      </c>
      <c r="K418" s="326" t="s">
        <v>462</v>
      </c>
      <c r="L418" s="316">
        <f t="shared" ref="L418:L443" si="62">LEN(A418)</f>
        <v>7</v>
      </c>
      <c r="M418" s="478"/>
    </row>
    <row r="419" s="291" customFormat="1" ht="24.95" customHeight="1" spans="1:13">
      <c r="A419" s="310">
        <v>2130213</v>
      </c>
      <c r="B419" s="321" t="s">
        <v>463</v>
      </c>
      <c r="C419" s="492">
        <v>204</v>
      </c>
      <c r="D419" s="322"/>
      <c r="E419" s="322">
        <f t="shared" si="60"/>
        <v>204</v>
      </c>
      <c r="F419" s="322"/>
      <c r="G419" s="322"/>
      <c r="H419" s="322">
        <f t="shared" si="61"/>
        <v>204</v>
      </c>
      <c r="I419" s="322">
        <v>197</v>
      </c>
      <c r="J419" s="494">
        <f t="shared" si="53"/>
        <v>-0.0343137254901961</v>
      </c>
      <c r="K419" s="326"/>
      <c r="L419" s="316">
        <f t="shared" si="62"/>
        <v>7</v>
      </c>
      <c r="M419" s="478"/>
    </row>
    <row r="420" s="291" customFormat="1" ht="24.95" customHeight="1" spans="1:13">
      <c r="A420" s="310">
        <v>2130216</v>
      </c>
      <c r="B420" s="327" t="s">
        <v>464</v>
      </c>
      <c r="C420" s="492"/>
      <c r="D420" s="322"/>
      <c r="E420" s="322">
        <v>0</v>
      </c>
      <c r="F420" s="322"/>
      <c r="G420" s="322"/>
      <c r="H420" s="322">
        <f t="shared" si="61"/>
        <v>0</v>
      </c>
      <c r="I420" s="322"/>
      <c r="J420" s="495">
        <v>0</v>
      </c>
      <c r="K420" s="326"/>
      <c r="L420" s="316">
        <f t="shared" si="62"/>
        <v>7</v>
      </c>
      <c r="M420" s="478"/>
    </row>
    <row r="421" s="291" customFormat="1" ht="50.1" customHeight="1" spans="1:13">
      <c r="A421" s="310">
        <v>2130234</v>
      </c>
      <c r="B421" s="321" t="s">
        <v>465</v>
      </c>
      <c r="C421" s="492">
        <v>384</v>
      </c>
      <c r="D421" s="322"/>
      <c r="E421" s="322">
        <f t="shared" si="60"/>
        <v>384</v>
      </c>
      <c r="F421" s="322"/>
      <c r="G421" s="322"/>
      <c r="H421" s="322">
        <f t="shared" si="61"/>
        <v>384</v>
      </c>
      <c r="I421" s="322">
        <v>92</v>
      </c>
      <c r="J421" s="494">
        <f t="shared" si="53"/>
        <v>-0.760416666666667</v>
      </c>
      <c r="K421" s="326" t="s">
        <v>466</v>
      </c>
      <c r="L421" s="316">
        <f t="shared" si="62"/>
        <v>7</v>
      </c>
      <c r="M421" s="478"/>
    </row>
    <row r="422" s="291" customFormat="1" ht="24.95" customHeight="1" spans="1:13">
      <c r="A422" s="310">
        <v>2130299</v>
      </c>
      <c r="B422" s="321" t="s">
        <v>467</v>
      </c>
      <c r="C422" s="492">
        <v>2259</v>
      </c>
      <c r="D422" s="322"/>
      <c r="E422" s="322">
        <f t="shared" si="60"/>
        <v>2259</v>
      </c>
      <c r="F422" s="322"/>
      <c r="G422" s="322"/>
      <c r="H422" s="322">
        <f t="shared" si="61"/>
        <v>2259</v>
      </c>
      <c r="I422" s="322">
        <v>1930</v>
      </c>
      <c r="J422" s="494">
        <f t="shared" si="53"/>
        <v>-0.14563966356795</v>
      </c>
      <c r="K422" s="326"/>
      <c r="L422" s="316">
        <f t="shared" si="62"/>
        <v>7</v>
      </c>
      <c r="M422" s="478"/>
    </row>
    <row r="423" s="291" customFormat="1" ht="24.95" customHeight="1" spans="1:13">
      <c r="A423" s="310">
        <v>21303</v>
      </c>
      <c r="B423" s="317" t="s">
        <v>468</v>
      </c>
      <c r="C423" s="489">
        <v>29394</v>
      </c>
      <c r="D423" s="489">
        <v>82200</v>
      </c>
      <c r="E423" s="318">
        <f t="shared" si="60"/>
        <v>111594</v>
      </c>
      <c r="F423" s="490"/>
      <c r="G423" s="490"/>
      <c r="H423" s="318">
        <f t="shared" si="61"/>
        <v>111594</v>
      </c>
      <c r="I423" s="318">
        <f>SUM(I424:I430)</f>
        <v>48652</v>
      </c>
      <c r="J423" s="491">
        <f t="shared" si="53"/>
        <v>-0.564026739788878</v>
      </c>
      <c r="K423" s="330"/>
      <c r="L423" s="316">
        <f t="shared" si="62"/>
        <v>5</v>
      </c>
      <c r="M423" s="478"/>
    </row>
    <row r="424" s="291" customFormat="1" ht="39" customHeight="1" spans="1:13">
      <c r="A424" s="310">
        <v>2130304</v>
      </c>
      <c r="B424" s="321" t="s">
        <v>469</v>
      </c>
      <c r="C424" s="492">
        <v>1508</v>
      </c>
      <c r="D424" s="322"/>
      <c r="E424" s="322">
        <f t="shared" si="60"/>
        <v>1508</v>
      </c>
      <c r="F424" s="322"/>
      <c r="G424" s="322"/>
      <c r="H424" s="322">
        <f t="shared" si="61"/>
        <v>1508</v>
      </c>
      <c r="I424" s="322">
        <v>2314</v>
      </c>
      <c r="J424" s="494">
        <f t="shared" si="53"/>
        <v>0.53448275862069</v>
      </c>
      <c r="K424" s="326" t="s">
        <v>470</v>
      </c>
      <c r="L424" s="316">
        <f t="shared" si="62"/>
        <v>7</v>
      </c>
      <c r="M424" s="478"/>
    </row>
    <row r="425" s="291" customFormat="1" ht="38.25" customHeight="1" spans="1:13">
      <c r="A425" s="310">
        <v>2130305</v>
      </c>
      <c r="B425" s="321" t="s">
        <v>471</v>
      </c>
      <c r="C425" s="492"/>
      <c r="D425" s="492">
        <v>82200</v>
      </c>
      <c r="E425" s="322">
        <f t="shared" si="60"/>
        <v>82200</v>
      </c>
      <c r="F425" s="322"/>
      <c r="G425" s="322"/>
      <c r="H425" s="322">
        <f t="shared" si="61"/>
        <v>82200</v>
      </c>
      <c r="I425" s="322">
        <v>17826</v>
      </c>
      <c r="J425" s="494">
        <f t="shared" si="53"/>
        <v>-0.783138686131387</v>
      </c>
      <c r="K425" s="326" t="s">
        <v>472</v>
      </c>
      <c r="L425" s="316">
        <f t="shared" si="62"/>
        <v>7</v>
      </c>
      <c r="M425" s="478"/>
    </row>
    <row r="426" s="291" customFormat="1" ht="24.95" customHeight="1" spans="1:13">
      <c r="A426" s="310">
        <v>2130306</v>
      </c>
      <c r="B426" s="321" t="s">
        <v>473</v>
      </c>
      <c r="C426" s="492">
        <v>9641</v>
      </c>
      <c r="D426" s="322"/>
      <c r="E426" s="322">
        <f t="shared" si="60"/>
        <v>9641</v>
      </c>
      <c r="F426" s="322"/>
      <c r="G426" s="322"/>
      <c r="H426" s="322">
        <f t="shared" si="61"/>
        <v>9641</v>
      </c>
      <c r="I426" s="322">
        <v>9121</v>
      </c>
      <c r="J426" s="494">
        <f t="shared" si="53"/>
        <v>-0.0539363136604086</v>
      </c>
      <c r="K426" s="326"/>
      <c r="L426" s="316">
        <f t="shared" si="62"/>
        <v>7</v>
      </c>
      <c r="M426" s="478"/>
    </row>
    <row r="427" s="291" customFormat="1" ht="24.95" customHeight="1" spans="1:13">
      <c r="A427" s="310">
        <v>2130310</v>
      </c>
      <c r="B427" s="321" t="s">
        <v>474</v>
      </c>
      <c r="C427" s="492">
        <v>192</v>
      </c>
      <c r="D427" s="322"/>
      <c r="E427" s="322">
        <f t="shared" si="60"/>
        <v>192</v>
      </c>
      <c r="F427" s="322"/>
      <c r="G427" s="322"/>
      <c r="H427" s="322">
        <f t="shared" si="61"/>
        <v>192</v>
      </c>
      <c r="I427" s="322">
        <v>192</v>
      </c>
      <c r="J427" s="494">
        <f t="shared" si="53"/>
        <v>0</v>
      </c>
      <c r="K427" s="326"/>
      <c r="L427" s="316">
        <f t="shared" si="62"/>
        <v>7</v>
      </c>
      <c r="M427" s="478"/>
    </row>
    <row r="428" s="291" customFormat="1" ht="24.95" customHeight="1" spans="1:13">
      <c r="A428" s="310">
        <v>2130311</v>
      </c>
      <c r="B428" s="321" t="s">
        <v>475</v>
      </c>
      <c r="C428" s="492">
        <v>3897</v>
      </c>
      <c r="D428" s="322"/>
      <c r="E428" s="322">
        <f t="shared" si="60"/>
        <v>3897</v>
      </c>
      <c r="F428" s="322"/>
      <c r="G428" s="322"/>
      <c r="H428" s="322">
        <f t="shared" si="61"/>
        <v>3897</v>
      </c>
      <c r="I428" s="322">
        <v>3584</v>
      </c>
      <c r="J428" s="494">
        <f t="shared" si="53"/>
        <v>-0.0803181934821657</v>
      </c>
      <c r="K428" s="326"/>
      <c r="L428" s="316">
        <f t="shared" si="62"/>
        <v>7</v>
      </c>
      <c r="M428" s="478"/>
    </row>
    <row r="429" s="291" customFormat="1" ht="24.95" customHeight="1" spans="1:13">
      <c r="A429" s="310">
        <v>2130314</v>
      </c>
      <c r="B429" s="321" t="s">
        <v>476</v>
      </c>
      <c r="C429" s="492">
        <v>4407</v>
      </c>
      <c r="D429" s="322"/>
      <c r="E429" s="322">
        <f t="shared" si="60"/>
        <v>4407</v>
      </c>
      <c r="F429" s="322"/>
      <c r="G429" s="322"/>
      <c r="H429" s="322">
        <f t="shared" si="61"/>
        <v>4407</v>
      </c>
      <c r="I429" s="322">
        <v>4745</v>
      </c>
      <c r="J429" s="494">
        <f t="shared" si="53"/>
        <v>0.0766961651917404</v>
      </c>
      <c r="K429" s="326"/>
      <c r="L429" s="316">
        <f t="shared" si="62"/>
        <v>7</v>
      </c>
      <c r="M429" s="478"/>
    </row>
    <row r="430" s="291" customFormat="1" ht="24.95" customHeight="1" spans="1:13">
      <c r="A430" s="310">
        <v>2130399</v>
      </c>
      <c r="B430" s="321" t="s">
        <v>477</v>
      </c>
      <c r="C430" s="492">
        <v>9749</v>
      </c>
      <c r="D430" s="322"/>
      <c r="E430" s="322">
        <f t="shared" si="60"/>
        <v>9749</v>
      </c>
      <c r="F430" s="322"/>
      <c r="G430" s="322"/>
      <c r="H430" s="322">
        <f t="shared" si="61"/>
        <v>9749</v>
      </c>
      <c r="I430" s="322">
        <v>10870</v>
      </c>
      <c r="J430" s="494">
        <f t="shared" si="53"/>
        <v>0.11498615242589</v>
      </c>
      <c r="K430" s="326"/>
      <c r="L430" s="316">
        <f t="shared" si="62"/>
        <v>7</v>
      </c>
      <c r="M430" s="478"/>
    </row>
    <row r="431" s="291" customFormat="1" ht="24.95" customHeight="1" spans="1:13">
      <c r="A431" s="310">
        <v>21305</v>
      </c>
      <c r="B431" s="317" t="s">
        <v>478</v>
      </c>
      <c r="C431" s="489">
        <v>600</v>
      </c>
      <c r="D431" s="490">
        <v>2000</v>
      </c>
      <c r="E431" s="318">
        <f t="shared" si="60"/>
        <v>2600</v>
      </c>
      <c r="F431" s="490"/>
      <c r="G431" s="490"/>
      <c r="H431" s="318">
        <f t="shared" si="61"/>
        <v>2600</v>
      </c>
      <c r="I431" s="318">
        <f t="shared" ref="I431:I435" si="63">I432</f>
        <v>2851</v>
      </c>
      <c r="J431" s="491">
        <f t="shared" si="53"/>
        <v>0.0965384615384615</v>
      </c>
      <c r="K431" s="330"/>
      <c r="L431" s="316">
        <f t="shared" si="62"/>
        <v>5</v>
      </c>
      <c r="M431" s="478"/>
    </row>
    <row r="432" s="291" customFormat="1" ht="24.95" customHeight="1" spans="1:13">
      <c r="A432" s="310">
        <v>2130599</v>
      </c>
      <c r="B432" s="321" t="s">
        <v>479</v>
      </c>
      <c r="C432" s="492">
        <v>600</v>
      </c>
      <c r="D432" s="322">
        <v>2000</v>
      </c>
      <c r="E432" s="322">
        <f t="shared" si="60"/>
        <v>2600</v>
      </c>
      <c r="F432" s="322"/>
      <c r="G432" s="322"/>
      <c r="H432" s="322">
        <f t="shared" si="61"/>
        <v>2600</v>
      </c>
      <c r="I432" s="322">
        <v>2851</v>
      </c>
      <c r="J432" s="494">
        <f t="shared" si="53"/>
        <v>0.0965384615384615</v>
      </c>
      <c r="K432" s="326"/>
      <c r="L432" s="316">
        <f t="shared" si="62"/>
        <v>7</v>
      </c>
      <c r="M432" s="478"/>
    </row>
    <row r="433" s="291" customFormat="1" ht="24.95" customHeight="1" spans="1:13">
      <c r="A433" s="310">
        <v>21399</v>
      </c>
      <c r="B433" s="317" t="s">
        <v>480</v>
      </c>
      <c r="C433" s="489">
        <v>2280</v>
      </c>
      <c r="D433" s="490"/>
      <c r="E433" s="318">
        <f t="shared" si="60"/>
        <v>2280</v>
      </c>
      <c r="F433" s="490"/>
      <c r="G433" s="490"/>
      <c r="H433" s="318">
        <f t="shared" si="61"/>
        <v>2280</v>
      </c>
      <c r="I433" s="318">
        <f t="shared" si="63"/>
        <v>2225</v>
      </c>
      <c r="J433" s="491">
        <f t="shared" si="53"/>
        <v>-0.0241228070175439</v>
      </c>
      <c r="K433" s="330"/>
      <c r="L433" s="316">
        <f t="shared" si="62"/>
        <v>5</v>
      </c>
      <c r="M433" s="478"/>
    </row>
    <row r="434" s="291" customFormat="1" ht="24.95" customHeight="1" spans="1:13">
      <c r="A434" s="310">
        <v>2139999</v>
      </c>
      <c r="B434" s="321" t="s">
        <v>481</v>
      </c>
      <c r="C434" s="492">
        <v>2280</v>
      </c>
      <c r="D434" s="322"/>
      <c r="E434" s="322">
        <f t="shared" si="60"/>
        <v>2280</v>
      </c>
      <c r="F434" s="322"/>
      <c r="G434" s="322"/>
      <c r="H434" s="322">
        <f t="shared" si="61"/>
        <v>2280</v>
      </c>
      <c r="I434" s="322">
        <v>2225</v>
      </c>
      <c r="J434" s="494">
        <f t="shared" si="53"/>
        <v>-0.0241228070175439</v>
      </c>
      <c r="K434" s="326"/>
      <c r="L434" s="316">
        <f t="shared" si="62"/>
        <v>7</v>
      </c>
      <c r="M434" s="478"/>
    </row>
    <row r="435" s="291" customFormat="1" ht="24.95" customHeight="1" spans="1:13">
      <c r="A435" s="310">
        <v>214</v>
      </c>
      <c r="B435" s="311" t="s">
        <v>482</v>
      </c>
      <c r="C435" s="487">
        <v>779</v>
      </c>
      <c r="D435" s="313"/>
      <c r="E435" s="312">
        <f t="shared" si="60"/>
        <v>779</v>
      </c>
      <c r="F435" s="313"/>
      <c r="G435" s="313"/>
      <c r="H435" s="312">
        <f t="shared" si="61"/>
        <v>779</v>
      </c>
      <c r="I435" s="312">
        <f t="shared" si="63"/>
        <v>2534</v>
      </c>
      <c r="J435" s="488">
        <f t="shared" si="53"/>
        <v>2.25288831835687</v>
      </c>
      <c r="K435" s="313"/>
      <c r="L435" s="316">
        <f t="shared" si="62"/>
        <v>3</v>
      </c>
      <c r="M435" s="478"/>
    </row>
    <row r="436" s="291" customFormat="1" ht="24.95" customHeight="1" spans="1:13">
      <c r="A436" s="310">
        <v>21401</v>
      </c>
      <c r="B436" s="317" t="s">
        <v>483</v>
      </c>
      <c r="C436" s="489">
        <v>779</v>
      </c>
      <c r="D436" s="490"/>
      <c r="E436" s="318">
        <f t="shared" si="60"/>
        <v>779</v>
      </c>
      <c r="F436" s="490"/>
      <c r="G436" s="490"/>
      <c r="H436" s="318">
        <f t="shared" si="61"/>
        <v>779</v>
      </c>
      <c r="I436" s="318">
        <f>SUM(I437:I440)</f>
        <v>2534</v>
      </c>
      <c r="J436" s="491">
        <f t="shared" si="53"/>
        <v>2.25288831835687</v>
      </c>
      <c r="K436" s="330"/>
      <c r="L436" s="316">
        <f t="shared" si="62"/>
        <v>5</v>
      </c>
      <c r="M436" s="478"/>
    </row>
    <row r="437" s="291" customFormat="1" ht="24.95" customHeight="1" spans="1:13">
      <c r="A437" s="310">
        <v>2140101</v>
      </c>
      <c r="B437" s="321" t="s">
        <v>49</v>
      </c>
      <c r="C437" s="492">
        <v>335</v>
      </c>
      <c r="D437" s="322"/>
      <c r="E437" s="322">
        <f t="shared" si="60"/>
        <v>335</v>
      </c>
      <c r="F437" s="322"/>
      <c r="G437" s="322"/>
      <c r="H437" s="322">
        <f t="shared" si="61"/>
        <v>335</v>
      </c>
      <c r="I437" s="322">
        <v>229</v>
      </c>
      <c r="J437" s="494">
        <f t="shared" si="53"/>
        <v>-0.316417910447761</v>
      </c>
      <c r="K437" s="326"/>
      <c r="L437" s="316">
        <f t="shared" si="62"/>
        <v>7</v>
      </c>
      <c r="M437" s="478"/>
    </row>
    <row r="438" s="291" customFormat="1" ht="24.95" customHeight="1" spans="1:13">
      <c r="A438" s="310">
        <v>2140102</v>
      </c>
      <c r="B438" s="321" t="s">
        <v>50</v>
      </c>
      <c r="C438" s="492">
        <v>344</v>
      </c>
      <c r="D438" s="322"/>
      <c r="E438" s="322">
        <f t="shared" si="60"/>
        <v>344</v>
      </c>
      <c r="F438" s="322"/>
      <c r="G438" s="322"/>
      <c r="H438" s="322">
        <f t="shared" si="61"/>
        <v>344</v>
      </c>
      <c r="I438" s="322">
        <v>343</v>
      </c>
      <c r="J438" s="494">
        <f t="shared" si="53"/>
        <v>-0.00290697674418605</v>
      </c>
      <c r="K438" s="326"/>
      <c r="L438" s="316">
        <f t="shared" si="62"/>
        <v>7</v>
      </c>
      <c r="M438" s="478"/>
    </row>
    <row r="439" s="291" customFormat="1" ht="89.1" customHeight="1" spans="1:13">
      <c r="A439" s="310">
        <v>2140104</v>
      </c>
      <c r="B439" s="327" t="s">
        <v>484</v>
      </c>
      <c r="C439" s="492"/>
      <c r="D439" s="322"/>
      <c r="E439" s="322">
        <v>0</v>
      </c>
      <c r="F439" s="322"/>
      <c r="G439" s="322"/>
      <c r="H439" s="322">
        <f t="shared" si="61"/>
        <v>0</v>
      </c>
      <c r="I439" s="322">
        <v>1862</v>
      </c>
      <c r="J439" s="495">
        <v>0</v>
      </c>
      <c r="K439" s="326" t="s">
        <v>485</v>
      </c>
      <c r="L439" s="316">
        <f t="shared" si="62"/>
        <v>7</v>
      </c>
      <c r="M439" s="478"/>
    </row>
    <row r="440" s="291" customFormat="1" ht="24.95" customHeight="1" spans="1:13">
      <c r="A440" s="310">
        <v>2140110</v>
      </c>
      <c r="B440" s="321" t="s">
        <v>486</v>
      </c>
      <c r="C440" s="492">
        <v>100</v>
      </c>
      <c r="D440" s="322"/>
      <c r="E440" s="322">
        <f>C440+D440</f>
        <v>100</v>
      </c>
      <c r="F440" s="322"/>
      <c r="G440" s="322"/>
      <c r="H440" s="322">
        <f t="shared" si="61"/>
        <v>100</v>
      </c>
      <c r="I440" s="322">
        <v>100</v>
      </c>
      <c r="J440" s="494">
        <f t="shared" si="53"/>
        <v>0</v>
      </c>
      <c r="K440" s="326"/>
      <c r="L440" s="316">
        <f t="shared" si="62"/>
        <v>7</v>
      </c>
      <c r="M440" s="478"/>
    </row>
    <row r="441" s="291" customFormat="1" ht="48" customHeight="1" spans="1:13">
      <c r="A441" s="310">
        <v>215</v>
      </c>
      <c r="B441" s="311" t="s">
        <v>487</v>
      </c>
      <c r="C441" s="487">
        <v>1555</v>
      </c>
      <c r="D441" s="313"/>
      <c r="E441" s="312">
        <f>C441+D441</f>
        <v>1555</v>
      </c>
      <c r="F441" s="313"/>
      <c r="G441" s="313"/>
      <c r="H441" s="312">
        <f t="shared" si="61"/>
        <v>1555</v>
      </c>
      <c r="I441" s="312">
        <f>I442+I444+I446+I452+I456</f>
        <v>1993</v>
      </c>
      <c r="J441" s="488">
        <f t="shared" si="53"/>
        <v>0.281672025723473</v>
      </c>
      <c r="K441" s="313"/>
      <c r="L441" s="316">
        <f t="shared" si="62"/>
        <v>3</v>
      </c>
      <c r="M441" s="478"/>
    </row>
    <row r="442" s="291" customFormat="1" ht="24.95" customHeight="1" spans="1:13">
      <c r="A442" s="331">
        <v>21502</v>
      </c>
      <c r="B442" s="332" t="s">
        <v>488</v>
      </c>
      <c r="C442" s="489"/>
      <c r="D442" s="490"/>
      <c r="E442" s="318">
        <v>0</v>
      </c>
      <c r="F442" s="490"/>
      <c r="G442" s="490"/>
      <c r="H442" s="318"/>
      <c r="I442" s="318"/>
      <c r="J442" s="496">
        <v>0</v>
      </c>
      <c r="K442" s="330"/>
      <c r="L442" s="316">
        <f t="shared" si="62"/>
        <v>5</v>
      </c>
      <c r="M442" s="478"/>
    </row>
    <row r="443" s="291" customFormat="1" ht="24.95" customHeight="1" spans="1:13">
      <c r="A443" s="331">
        <v>2150299</v>
      </c>
      <c r="B443" s="327" t="s">
        <v>489</v>
      </c>
      <c r="C443" s="492"/>
      <c r="D443" s="322"/>
      <c r="E443" s="322">
        <v>0</v>
      </c>
      <c r="F443" s="322"/>
      <c r="G443" s="322"/>
      <c r="H443" s="322"/>
      <c r="I443" s="322"/>
      <c r="J443" s="495">
        <v>0</v>
      </c>
      <c r="K443" s="326"/>
      <c r="L443" s="316">
        <f t="shared" si="62"/>
        <v>7</v>
      </c>
      <c r="M443" s="478"/>
    </row>
    <row r="444" s="291" customFormat="1" ht="45" customHeight="1" spans="1:13">
      <c r="A444" s="331">
        <v>21505</v>
      </c>
      <c r="B444" s="332" t="s">
        <v>490</v>
      </c>
      <c r="C444" s="499"/>
      <c r="D444" s="318"/>
      <c r="E444" s="318">
        <v>0</v>
      </c>
      <c r="F444" s="318"/>
      <c r="G444" s="318"/>
      <c r="H444" s="318">
        <v>0</v>
      </c>
      <c r="I444" s="318">
        <f>I445</f>
        <v>17</v>
      </c>
      <c r="J444" s="496">
        <v>0</v>
      </c>
      <c r="K444" s="330"/>
      <c r="L444" s="316"/>
      <c r="M444" s="478"/>
    </row>
    <row r="445" s="291" customFormat="1" ht="24.95" customHeight="1" spans="1:13">
      <c r="A445" s="331">
        <v>2150509</v>
      </c>
      <c r="B445" s="327" t="s">
        <v>491</v>
      </c>
      <c r="C445" s="492"/>
      <c r="D445" s="322"/>
      <c r="E445" s="322">
        <v>0</v>
      </c>
      <c r="F445" s="322"/>
      <c r="G445" s="322"/>
      <c r="H445" s="322">
        <v>0</v>
      </c>
      <c r="I445" s="322">
        <v>17</v>
      </c>
      <c r="J445" s="495">
        <v>0</v>
      </c>
      <c r="K445" s="326"/>
      <c r="L445" s="316"/>
      <c r="M445" s="478"/>
    </row>
    <row r="446" s="291" customFormat="1" ht="24.95" customHeight="1" spans="1:13">
      <c r="A446" s="331">
        <v>21506</v>
      </c>
      <c r="B446" s="332" t="s">
        <v>492</v>
      </c>
      <c r="C446" s="489"/>
      <c r="D446" s="490"/>
      <c r="E446" s="318">
        <v>0</v>
      </c>
      <c r="F446" s="490"/>
      <c r="G446" s="490"/>
      <c r="H446" s="318"/>
      <c r="I446" s="318"/>
      <c r="J446" s="496"/>
      <c r="K446" s="330"/>
      <c r="L446" s="316">
        <f t="shared" ref="L446:L452" si="64">LEN(A446)</f>
        <v>5</v>
      </c>
      <c r="M446" s="478"/>
    </row>
    <row r="447" s="291" customFormat="1" ht="24.95" customHeight="1" spans="1:13">
      <c r="A447" s="331">
        <v>2150601</v>
      </c>
      <c r="B447" s="327" t="s">
        <v>49</v>
      </c>
      <c r="C447" s="492"/>
      <c r="D447" s="322"/>
      <c r="E447" s="322">
        <v>0</v>
      </c>
      <c r="F447" s="322"/>
      <c r="G447" s="322"/>
      <c r="H447" s="322"/>
      <c r="I447" s="322"/>
      <c r="J447" s="495"/>
      <c r="K447" s="326"/>
      <c r="L447" s="316">
        <f t="shared" si="64"/>
        <v>7</v>
      </c>
      <c r="M447" s="478"/>
    </row>
    <row r="448" s="291" customFormat="1" ht="24.95" customHeight="1" spans="1:13">
      <c r="A448" s="331">
        <v>2150602</v>
      </c>
      <c r="B448" s="327" t="s">
        <v>50</v>
      </c>
      <c r="C448" s="492"/>
      <c r="D448" s="322"/>
      <c r="E448" s="322">
        <v>0</v>
      </c>
      <c r="F448" s="322"/>
      <c r="G448" s="322"/>
      <c r="H448" s="322"/>
      <c r="I448" s="322"/>
      <c r="J448" s="495"/>
      <c r="K448" s="326"/>
      <c r="L448" s="316">
        <f t="shared" si="64"/>
        <v>7</v>
      </c>
      <c r="M448" s="478"/>
    </row>
    <row r="449" s="291" customFormat="1" ht="24.95" customHeight="1" spans="1:13">
      <c r="A449" s="331">
        <v>2150605</v>
      </c>
      <c r="B449" s="327" t="s">
        <v>493</v>
      </c>
      <c r="C449" s="492"/>
      <c r="D449" s="322"/>
      <c r="E449" s="322">
        <v>0</v>
      </c>
      <c r="F449" s="322"/>
      <c r="G449" s="322"/>
      <c r="H449" s="322"/>
      <c r="I449" s="322"/>
      <c r="J449" s="495"/>
      <c r="K449" s="326"/>
      <c r="L449" s="316">
        <f t="shared" si="64"/>
        <v>7</v>
      </c>
      <c r="M449" s="478"/>
    </row>
    <row r="450" s="291" customFormat="1" ht="24.95" customHeight="1" spans="1:13">
      <c r="A450" s="331">
        <v>2150606</v>
      </c>
      <c r="B450" s="327" t="s">
        <v>494</v>
      </c>
      <c r="C450" s="492"/>
      <c r="D450" s="322"/>
      <c r="E450" s="322">
        <v>0</v>
      </c>
      <c r="F450" s="322"/>
      <c r="G450" s="322"/>
      <c r="H450" s="322"/>
      <c r="I450" s="322"/>
      <c r="J450" s="495"/>
      <c r="K450" s="326"/>
      <c r="L450" s="316">
        <f t="shared" si="64"/>
        <v>7</v>
      </c>
      <c r="M450" s="478"/>
    </row>
    <row r="451" s="291" customFormat="1" ht="24.95" customHeight="1" spans="1:13">
      <c r="A451" s="331">
        <v>2150699</v>
      </c>
      <c r="B451" s="327" t="s">
        <v>495</v>
      </c>
      <c r="C451" s="492"/>
      <c r="D451" s="322"/>
      <c r="E451" s="322">
        <v>0</v>
      </c>
      <c r="F451" s="322"/>
      <c r="G451" s="322"/>
      <c r="H451" s="322"/>
      <c r="I451" s="322"/>
      <c r="J451" s="495"/>
      <c r="K451" s="326"/>
      <c r="L451" s="316">
        <f t="shared" si="64"/>
        <v>7</v>
      </c>
      <c r="M451" s="478"/>
    </row>
    <row r="452" s="291" customFormat="1" ht="24.95" customHeight="1" spans="1:13">
      <c r="A452" s="310">
        <v>21507</v>
      </c>
      <c r="B452" s="317" t="s">
        <v>496</v>
      </c>
      <c r="C452" s="489">
        <v>1555</v>
      </c>
      <c r="D452" s="490"/>
      <c r="E452" s="318">
        <f>C452+D452</f>
        <v>1555</v>
      </c>
      <c r="F452" s="490"/>
      <c r="G452" s="490"/>
      <c r="H452" s="318">
        <f>E452-F452-G452</f>
        <v>1555</v>
      </c>
      <c r="I452" s="318">
        <f>SUM(I453:I455)</f>
        <v>1976</v>
      </c>
      <c r="J452" s="491">
        <f t="shared" ref="J452:J509" si="65">I452/H452-1</f>
        <v>0.270739549839228</v>
      </c>
      <c r="K452" s="330"/>
      <c r="L452" s="316">
        <f t="shared" si="64"/>
        <v>5</v>
      </c>
      <c r="M452" s="478"/>
    </row>
    <row r="453" s="291" customFormat="1" ht="24.95" customHeight="1" spans="1:13">
      <c r="A453" s="310">
        <v>2150701</v>
      </c>
      <c r="B453" s="321" t="s">
        <v>497</v>
      </c>
      <c r="C453" s="489"/>
      <c r="D453" s="490"/>
      <c r="E453" s="322"/>
      <c r="F453" s="322"/>
      <c r="G453" s="322"/>
      <c r="H453" s="322"/>
      <c r="I453" s="322">
        <v>278</v>
      </c>
      <c r="J453" s="495">
        <v>0</v>
      </c>
      <c r="K453" s="326"/>
      <c r="L453" s="316"/>
      <c r="M453" s="478"/>
    </row>
    <row r="454" s="291" customFormat="1" ht="24.95" customHeight="1" spans="1:13">
      <c r="A454" s="310">
        <v>2150702</v>
      </c>
      <c r="B454" s="321" t="s">
        <v>498</v>
      </c>
      <c r="C454" s="489"/>
      <c r="D454" s="490"/>
      <c r="E454" s="322"/>
      <c r="F454" s="322"/>
      <c r="G454" s="322"/>
      <c r="H454" s="322"/>
      <c r="I454" s="322">
        <v>68</v>
      </c>
      <c r="J454" s="495">
        <v>0</v>
      </c>
      <c r="K454" s="326"/>
      <c r="L454" s="316"/>
      <c r="M454" s="478"/>
    </row>
    <row r="455" s="291" customFormat="1" ht="24.95" customHeight="1" spans="1:13">
      <c r="A455" s="310">
        <v>2150799</v>
      </c>
      <c r="B455" s="321" t="s">
        <v>499</v>
      </c>
      <c r="C455" s="492">
        <v>1555</v>
      </c>
      <c r="D455" s="322"/>
      <c r="E455" s="322">
        <f t="shared" ref="E455:E460" si="66">C455+D455</f>
        <v>1555</v>
      </c>
      <c r="F455" s="322"/>
      <c r="G455" s="322"/>
      <c r="H455" s="322">
        <f t="shared" ref="H455:H460" si="67">E455-F455-G455</f>
        <v>1555</v>
      </c>
      <c r="I455" s="322">
        <v>1630</v>
      </c>
      <c r="J455" s="494">
        <f t="shared" si="65"/>
        <v>0.0482315112540193</v>
      </c>
      <c r="K455" s="326"/>
      <c r="L455" s="316">
        <f t="shared" ref="L455:L462" si="68">LEN(A455)</f>
        <v>7</v>
      </c>
      <c r="M455" s="478"/>
    </row>
    <row r="456" s="291" customFormat="1" ht="45" customHeight="1" spans="1:13">
      <c r="A456" s="310">
        <v>21599</v>
      </c>
      <c r="B456" s="317" t="s">
        <v>500</v>
      </c>
      <c r="C456" s="489"/>
      <c r="D456" s="490"/>
      <c r="E456" s="318">
        <v>0</v>
      </c>
      <c r="F456" s="490"/>
      <c r="G456" s="490"/>
      <c r="H456" s="318"/>
      <c r="I456" s="318"/>
      <c r="J456" s="496">
        <v>0</v>
      </c>
      <c r="K456" s="330"/>
      <c r="L456" s="316">
        <f t="shared" si="68"/>
        <v>5</v>
      </c>
      <c r="M456" s="478"/>
    </row>
    <row r="457" s="291" customFormat="1" ht="45" customHeight="1" spans="1:13">
      <c r="A457" s="310">
        <v>2159999</v>
      </c>
      <c r="B457" s="321" t="s">
        <v>501</v>
      </c>
      <c r="C457" s="492"/>
      <c r="D457" s="322"/>
      <c r="E457" s="322">
        <v>0</v>
      </c>
      <c r="F457" s="322"/>
      <c r="G457" s="322"/>
      <c r="H457" s="322"/>
      <c r="I457" s="322"/>
      <c r="J457" s="495">
        <v>0</v>
      </c>
      <c r="K457" s="326"/>
      <c r="L457" s="316">
        <f t="shared" si="68"/>
        <v>7</v>
      </c>
      <c r="M457" s="478"/>
    </row>
    <row r="458" s="291" customFormat="1" ht="45.95" customHeight="1" spans="1:13">
      <c r="A458" s="310">
        <v>216</v>
      </c>
      <c r="B458" s="311" t="s">
        <v>502</v>
      </c>
      <c r="C458" s="487">
        <v>102</v>
      </c>
      <c r="D458" s="313"/>
      <c r="E458" s="312">
        <f t="shared" si="66"/>
        <v>102</v>
      </c>
      <c r="F458" s="313"/>
      <c r="G458" s="313"/>
      <c r="H458" s="312">
        <f t="shared" si="67"/>
        <v>102</v>
      </c>
      <c r="I458" s="312">
        <f>I459</f>
        <v>82</v>
      </c>
      <c r="J458" s="488">
        <f t="shared" si="65"/>
        <v>-0.196078431372549</v>
      </c>
      <c r="K458" s="313"/>
      <c r="L458" s="316">
        <f t="shared" si="68"/>
        <v>3</v>
      </c>
      <c r="M458" s="478"/>
    </row>
    <row r="459" s="291" customFormat="1" ht="24.95" customHeight="1" spans="1:13">
      <c r="A459" s="310">
        <v>21602</v>
      </c>
      <c r="B459" s="317" t="s">
        <v>503</v>
      </c>
      <c r="C459" s="489">
        <v>102</v>
      </c>
      <c r="D459" s="490"/>
      <c r="E459" s="318">
        <f t="shared" si="66"/>
        <v>102</v>
      </c>
      <c r="F459" s="490"/>
      <c r="G459" s="490"/>
      <c r="H459" s="318">
        <f t="shared" si="67"/>
        <v>102</v>
      </c>
      <c r="I459" s="318">
        <f>I460</f>
        <v>82</v>
      </c>
      <c r="J459" s="491">
        <f t="shared" si="65"/>
        <v>-0.196078431372549</v>
      </c>
      <c r="K459" s="330"/>
      <c r="L459" s="316">
        <f t="shared" si="68"/>
        <v>5</v>
      </c>
      <c r="M459" s="478"/>
    </row>
    <row r="460" s="291" customFormat="1" ht="24.95" customHeight="1" spans="1:13">
      <c r="A460" s="310">
        <v>2160250</v>
      </c>
      <c r="B460" s="321" t="s">
        <v>65</v>
      </c>
      <c r="C460" s="492">
        <v>102</v>
      </c>
      <c r="D460" s="322"/>
      <c r="E460" s="322">
        <f t="shared" si="66"/>
        <v>102</v>
      </c>
      <c r="F460" s="322"/>
      <c r="G460" s="322"/>
      <c r="H460" s="322">
        <f t="shared" si="67"/>
        <v>102</v>
      </c>
      <c r="I460" s="322">
        <v>82</v>
      </c>
      <c r="J460" s="494">
        <f t="shared" si="65"/>
        <v>-0.196078431372549</v>
      </c>
      <c r="K460" s="326"/>
      <c r="L460" s="316">
        <f t="shared" si="68"/>
        <v>7</v>
      </c>
      <c r="M460" s="478"/>
    </row>
    <row r="461" s="291" customFormat="1" ht="42" customHeight="1" spans="1:13">
      <c r="A461" s="310">
        <v>21605</v>
      </c>
      <c r="B461" s="317" t="s">
        <v>504</v>
      </c>
      <c r="C461" s="489"/>
      <c r="D461" s="490"/>
      <c r="E461" s="318">
        <v>0</v>
      </c>
      <c r="F461" s="490"/>
      <c r="G461" s="490"/>
      <c r="H461" s="318"/>
      <c r="I461" s="318"/>
      <c r="J461" s="496">
        <v>0</v>
      </c>
      <c r="K461" s="330"/>
      <c r="L461" s="316">
        <f t="shared" si="68"/>
        <v>5</v>
      </c>
      <c r="M461" s="478"/>
    </row>
    <row r="462" s="291" customFormat="1" ht="24.95" customHeight="1" spans="1:13">
      <c r="A462" s="310">
        <v>2160505</v>
      </c>
      <c r="B462" s="321" t="s">
        <v>270</v>
      </c>
      <c r="C462" s="492"/>
      <c r="D462" s="322"/>
      <c r="E462" s="322">
        <v>0</v>
      </c>
      <c r="F462" s="322"/>
      <c r="G462" s="322"/>
      <c r="H462" s="322"/>
      <c r="I462" s="322"/>
      <c r="J462" s="495">
        <v>0</v>
      </c>
      <c r="K462" s="326"/>
      <c r="L462" s="316">
        <f t="shared" si="68"/>
        <v>7</v>
      </c>
      <c r="M462" s="478"/>
    </row>
    <row r="463" s="291" customFormat="1" ht="24.95" customHeight="1" spans="1:13">
      <c r="A463" s="310">
        <v>219</v>
      </c>
      <c r="B463" s="311" t="s">
        <v>505</v>
      </c>
      <c r="C463" s="487"/>
      <c r="D463" s="313"/>
      <c r="E463" s="312"/>
      <c r="F463" s="313"/>
      <c r="G463" s="313"/>
      <c r="H463" s="312"/>
      <c r="I463" s="312"/>
      <c r="J463" s="502">
        <v>0</v>
      </c>
      <c r="K463" s="503"/>
      <c r="L463" s="316"/>
      <c r="M463" s="478"/>
    </row>
    <row r="464" s="291" customFormat="1" ht="44.1" customHeight="1" spans="1:13">
      <c r="A464" s="310">
        <v>220</v>
      </c>
      <c r="B464" s="311" t="s">
        <v>506</v>
      </c>
      <c r="C464" s="487">
        <v>7334</v>
      </c>
      <c r="D464" s="313"/>
      <c r="E464" s="312">
        <f t="shared" ref="E464:E490" si="69">C464+D464</f>
        <v>7334</v>
      </c>
      <c r="F464" s="313"/>
      <c r="G464" s="313"/>
      <c r="H464" s="312">
        <f t="shared" ref="H464:H490" si="70">E464-F464-G464</f>
        <v>7334</v>
      </c>
      <c r="I464" s="312">
        <f>I465</f>
        <v>8002</v>
      </c>
      <c r="J464" s="488">
        <f t="shared" si="65"/>
        <v>0.0910826288519226</v>
      </c>
      <c r="K464" s="313"/>
      <c r="L464" s="316">
        <f t="shared" ref="L464:L490" si="71">LEN(A464)</f>
        <v>3</v>
      </c>
      <c r="M464" s="478"/>
    </row>
    <row r="465" s="291" customFormat="1" ht="24.95" customHeight="1" spans="1:13">
      <c r="A465" s="310">
        <v>22001</v>
      </c>
      <c r="B465" s="317" t="s">
        <v>507</v>
      </c>
      <c r="C465" s="489">
        <v>7334</v>
      </c>
      <c r="D465" s="490"/>
      <c r="E465" s="318">
        <f t="shared" si="69"/>
        <v>7334</v>
      </c>
      <c r="F465" s="490"/>
      <c r="G465" s="490"/>
      <c r="H465" s="318">
        <f t="shared" si="70"/>
        <v>7334</v>
      </c>
      <c r="I465" s="318">
        <f>SUM(I466:I470)</f>
        <v>8002</v>
      </c>
      <c r="J465" s="491">
        <f t="shared" si="65"/>
        <v>0.0910826288519226</v>
      </c>
      <c r="K465" s="330"/>
      <c r="L465" s="316">
        <f t="shared" si="71"/>
        <v>5</v>
      </c>
      <c r="M465" s="478"/>
    </row>
    <row r="466" s="291" customFormat="1" ht="24.95" customHeight="1" spans="1:13">
      <c r="A466" s="310">
        <v>2200101</v>
      </c>
      <c r="B466" s="321" t="s">
        <v>49</v>
      </c>
      <c r="C466" s="492">
        <v>1864</v>
      </c>
      <c r="D466" s="322"/>
      <c r="E466" s="322">
        <f t="shared" si="69"/>
        <v>1864</v>
      </c>
      <c r="F466" s="322"/>
      <c r="G466" s="322"/>
      <c r="H466" s="322">
        <f t="shared" si="70"/>
        <v>1864</v>
      </c>
      <c r="I466" s="322">
        <v>2095</v>
      </c>
      <c r="J466" s="494">
        <f t="shared" si="65"/>
        <v>0.123927038626609</v>
      </c>
      <c r="K466" s="326"/>
      <c r="L466" s="316">
        <f t="shared" si="71"/>
        <v>7</v>
      </c>
      <c r="M466" s="478"/>
    </row>
    <row r="467" s="291" customFormat="1" ht="24.95" customHeight="1" spans="1:13">
      <c r="A467" s="310">
        <v>2200102</v>
      </c>
      <c r="B467" s="321" t="s">
        <v>50</v>
      </c>
      <c r="C467" s="492">
        <v>714</v>
      </c>
      <c r="D467" s="322"/>
      <c r="E467" s="322">
        <f t="shared" si="69"/>
        <v>714</v>
      </c>
      <c r="F467" s="322"/>
      <c r="G467" s="322"/>
      <c r="H467" s="322">
        <f t="shared" si="70"/>
        <v>714</v>
      </c>
      <c r="I467" s="322">
        <v>656</v>
      </c>
      <c r="J467" s="494">
        <f t="shared" si="65"/>
        <v>-0.0812324929971989</v>
      </c>
      <c r="K467" s="326"/>
      <c r="L467" s="316">
        <f t="shared" si="71"/>
        <v>7</v>
      </c>
      <c r="M467" s="478"/>
    </row>
    <row r="468" s="291" customFormat="1" ht="24.95" customHeight="1" spans="1:13">
      <c r="A468" s="310">
        <v>2200110</v>
      </c>
      <c r="B468" s="321" t="s">
        <v>508</v>
      </c>
      <c r="C468" s="492">
        <v>828</v>
      </c>
      <c r="D468" s="322"/>
      <c r="E468" s="322">
        <f t="shared" si="69"/>
        <v>828</v>
      </c>
      <c r="F468" s="322"/>
      <c r="G468" s="322"/>
      <c r="H468" s="322">
        <f t="shared" si="70"/>
        <v>828</v>
      </c>
      <c r="I468" s="322">
        <v>812</v>
      </c>
      <c r="J468" s="494">
        <f t="shared" si="65"/>
        <v>-0.0193236714975845</v>
      </c>
      <c r="K468" s="326"/>
      <c r="L468" s="316">
        <f t="shared" si="71"/>
        <v>7</v>
      </c>
      <c r="M468" s="478"/>
    </row>
    <row r="469" s="291" customFormat="1" ht="24.95" customHeight="1" spans="1:13">
      <c r="A469" s="310">
        <v>2200150</v>
      </c>
      <c r="B469" s="321" t="s">
        <v>65</v>
      </c>
      <c r="C469" s="492">
        <v>2217</v>
      </c>
      <c r="D469" s="322"/>
      <c r="E469" s="322">
        <f t="shared" si="69"/>
        <v>2217</v>
      </c>
      <c r="F469" s="322"/>
      <c r="G469" s="322"/>
      <c r="H469" s="322">
        <f t="shared" si="70"/>
        <v>2217</v>
      </c>
      <c r="I469" s="322">
        <v>2510</v>
      </c>
      <c r="J469" s="494">
        <f t="shared" si="65"/>
        <v>0.132160577356788</v>
      </c>
      <c r="K469" s="326"/>
      <c r="L469" s="316">
        <f t="shared" si="71"/>
        <v>7</v>
      </c>
      <c r="M469" s="478"/>
    </row>
    <row r="470" s="291" customFormat="1" ht="24.95" customHeight="1" spans="1:13">
      <c r="A470" s="310">
        <v>2200199</v>
      </c>
      <c r="B470" s="321" t="s">
        <v>509</v>
      </c>
      <c r="C470" s="492">
        <v>1711</v>
      </c>
      <c r="D470" s="322"/>
      <c r="E470" s="322">
        <f t="shared" si="69"/>
        <v>1711</v>
      </c>
      <c r="F470" s="322"/>
      <c r="G470" s="322"/>
      <c r="H470" s="322">
        <f t="shared" si="70"/>
        <v>1711</v>
      </c>
      <c r="I470" s="322">
        <v>1929</v>
      </c>
      <c r="J470" s="494">
        <f t="shared" si="65"/>
        <v>0.127410870835769</v>
      </c>
      <c r="K470" s="326"/>
      <c r="L470" s="316">
        <f t="shared" si="71"/>
        <v>7</v>
      </c>
      <c r="M470" s="478"/>
    </row>
    <row r="471" s="291" customFormat="1" ht="24.95" customHeight="1" spans="1:13">
      <c r="A471" s="310">
        <v>221</v>
      </c>
      <c r="B471" s="311" t="s">
        <v>510</v>
      </c>
      <c r="C471" s="487">
        <v>214828</v>
      </c>
      <c r="D471" s="313">
        <v>20000</v>
      </c>
      <c r="E471" s="312">
        <f t="shared" si="69"/>
        <v>234828</v>
      </c>
      <c r="F471" s="313">
        <f>SUM(F477,F474)</f>
        <v>0</v>
      </c>
      <c r="G471" s="313">
        <f>SUM(G474)</f>
        <v>8000</v>
      </c>
      <c r="H471" s="312">
        <f t="shared" si="70"/>
        <v>226828</v>
      </c>
      <c r="I471" s="312">
        <f>I472+I474+I477</f>
        <v>240354</v>
      </c>
      <c r="J471" s="488">
        <f t="shared" si="65"/>
        <v>0.0596310861092986</v>
      </c>
      <c r="K471" s="313"/>
      <c r="L471" s="316">
        <f t="shared" si="71"/>
        <v>3</v>
      </c>
      <c r="M471" s="478"/>
    </row>
    <row r="472" s="291" customFormat="1" ht="41.1" customHeight="1" spans="1:13">
      <c r="A472" s="310">
        <v>22101</v>
      </c>
      <c r="B472" s="317" t="s">
        <v>511</v>
      </c>
      <c r="C472" s="489">
        <v>1286</v>
      </c>
      <c r="D472" s="490"/>
      <c r="E472" s="318">
        <f t="shared" si="69"/>
        <v>1286</v>
      </c>
      <c r="F472" s="490"/>
      <c r="G472" s="490"/>
      <c r="H472" s="318">
        <f t="shared" si="70"/>
        <v>1286</v>
      </c>
      <c r="I472" s="318">
        <f>I473</f>
        <v>8797</v>
      </c>
      <c r="J472" s="491">
        <f t="shared" si="65"/>
        <v>5.84059097978227</v>
      </c>
      <c r="K472" s="330"/>
      <c r="L472" s="316">
        <f t="shared" si="71"/>
        <v>5</v>
      </c>
      <c r="M472" s="478"/>
    </row>
    <row r="473" s="291" customFormat="1" ht="48" customHeight="1" spans="1:13">
      <c r="A473" s="310">
        <v>2210199</v>
      </c>
      <c r="B473" s="321" t="s">
        <v>512</v>
      </c>
      <c r="C473" s="492">
        <v>1286</v>
      </c>
      <c r="D473" s="322"/>
      <c r="E473" s="322">
        <f t="shared" si="69"/>
        <v>1286</v>
      </c>
      <c r="F473" s="322"/>
      <c r="G473" s="322"/>
      <c r="H473" s="322">
        <f t="shared" si="70"/>
        <v>1286</v>
      </c>
      <c r="I473" s="322">
        <v>8797</v>
      </c>
      <c r="J473" s="494">
        <f t="shared" si="65"/>
        <v>5.84059097978227</v>
      </c>
      <c r="K473" s="326" t="s">
        <v>513</v>
      </c>
      <c r="L473" s="316">
        <f t="shared" si="71"/>
        <v>7</v>
      </c>
      <c r="M473" s="478"/>
    </row>
    <row r="474" s="291" customFormat="1" ht="24.95" customHeight="1" spans="1:13">
      <c r="A474" s="310">
        <v>22102</v>
      </c>
      <c r="B474" s="317" t="s">
        <v>514</v>
      </c>
      <c r="C474" s="489">
        <v>212847</v>
      </c>
      <c r="D474" s="490">
        <v>20000</v>
      </c>
      <c r="E474" s="318">
        <f t="shared" si="69"/>
        <v>232847</v>
      </c>
      <c r="F474" s="490"/>
      <c r="G474" s="490">
        <f>SUM(G475:G476)</f>
        <v>8000</v>
      </c>
      <c r="H474" s="318">
        <f t="shared" si="70"/>
        <v>224847</v>
      </c>
      <c r="I474" s="318">
        <f>SUM(I475:I476)</f>
        <v>231042</v>
      </c>
      <c r="J474" s="491">
        <f t="shared" si="65"/>
        <v>0.0275520687400765</v>
      </c>
      <c r="K474" s="330"/>
      <c r="L474" s="316">
        <f t="shared" si="71"/>
        <v>5</v>
      </c>
      <c r="M474" s="478"/>
    </row>
    <row r="475" s="291" customFormat="1" ht="24.95" customHeight="1" spans="1:13">
      <c r="A475" s="310">
        <v>2210201</v>
      </c>
      <c r="B475" s="321" t="s">
        <v>515</v>
      </c>
      <c r="C475" s="492">
        <v>73354</v>
      </c>
      <c r="D475" s="322">
        <v>20000</v>
      </c>
      <c r="E475" s="322">
        <f t="shared" si="69"/>
        <v>93354</v>
      </c>
      <c r="F475" s="322"/>
      <c r="G475" s="322">
        <v>8000</v>
      </c>
      <c r="H475" s="322">
        <f t="shared" si="70"/>
        <v>85354</v>
      </c>
      <c r="I475" s="322">
        <v>70951</v>
      </c>
      <c r="J475" s="494">
        <f t="shared" si="65"/>
        <v>-0.168744288492631</v>
      </c>
      <c r="K475" s="326"/>
      <c r="L475" s="316">
        <f t="shared" si="71"/>
        <v>7</v>
      </c>
      <c r="M475" s="478"/>
    </row>
    <row r="476" s="291" customFormat="1" ht="24.95" customHeight="1" spans="1:13">
      <c r="A476" s="310">
        <v>2210203</v>
      </c>
      <c r="B476" s="321" t="s">
        <v>516</v>
      </c>
      <c r="C476" s="492">
        <v>139493</v>
      </c>
      <c r="D476" s="322"/>
      <c r="E476" s="322">
        <f t="shared" si="69"/>
        <v>139493</v>
      </c>
      <c r="F476" s="322"/>
      <c r="G476" s="322"/>
      <c r="H476" s="322">
        <f t="shared" si="70"/>
        <v>139493</v>
      </c>
      <c r="I476" s="322">
        <v>160091</v>
      </c>
      <c r="J476" s="494">
        <f t="shared" si="65"/>
        <v>0.147663323607636</v>
      </c>
      <c r="K476" s="326"/>
      <c r="L476" s="316">
        <f t="shared" si="71"/>
        <v>7</v>
      </c>
      <c r="M476" s="478"/>
    </row>
    <row r="477" s="291" customFormat="1" ht="24.95" customHeight="1" spans="1:13">
      <c r="A477" s="310">
        <v>22103</v>
      </c>
      <c r="B477" s="317" t="s">
        <v>517</v>
      </c>
      <c r="C477" s="489">
        <v>695</v>
      </c>
      <c r="D477" s="490"/>
      <c r="E477" s="318">
        <f t="shared" si="69"/>
        <v>695</v>
      </c>
      <c r="F477" s="490"/>
      <c r="G477" s="490"/>
      <c r="H477" s="318">
        <f t="shared" si="70"/>
        <v>695</v>
      </c>
      <c r="I477" s="318">
        <f>I478</f>
        <v>515</v>
      </c>
      <c r="J477" s="491">
        <f t="shared" si="65"/>
        <v>-0.258992805755396</v>
      </c>
      <c r="K477" s="330"/>
      <c r="L477" s="316">
        <f t="shared" si="71"/>
        <v>5</v>
      </c>
      <c r="M477" s="478"/>
    </row>
    <row r="478" s="291" customFormat="1" ht="24.95" customHeight="1" spans="1:13">
      <c r="A478" s="310">
        <v>2210399</v>
      </c>
      <c r="B478" s="321" t="s">
        <v>518</v>
      </c>
      <c r="C478" s="492">
        <v>695</v>
      </c>
      <c r="D478" s="322"/>
      <c r="E478" s="322">
        <f t="shared" si="69"/>
        <v>695</v>
      </c>
      <c r="F478" s="322"/>
      <c r="G478" s="322"/>
      <c r="H478" s="322">
        <f t="shared" si="70"/>
        <v>695</v>
      </c>
      <c r="I478" s="322">
        <v>515</v>
      </c>
      <c r="J478" s="494">
        <f t="shared" si="65"/>
        <v>-0.258992805755396</v>
      </c>
      <c r="K478" s="326"/>
      <c r="L478" s="316">
        <f t="shared" si="71"/>
        <v>7</v>
      </c>
      <c r="M478" s="478"/>
    </row>
    <row r="479" s="291" customFormat="1" ht="45" customHeight="1" spans="1:13">
      <c r="A479" s="310">
        <v>222</v>
      </c>
      <c r="B479" s="311" t="s">
        <v>519</v>
      </c>
      <c r="C479" s="487">
        <v>11372</v>
      </c>
      <c r="D479" s="313"/>
      <c r="E479" s="312">
        <f t="shared" si="69"/>
        <v>11372</v>
      </c>
      <c r="F479" s="313"/>
      <c r="G479" s="313"/>
      <c r="H479" s="312">
        <f t="shared" si="70"/>
        <v>11372</v>
      </c>
      <c r="I479" s="312">
        <v>11372</v>
      </c>
      <c r="J479" s="488">
        <f t="shared" si="65"/>
        <v>0</v>
      </c>
      <c r="K479" s="313"/>
      <c r="L479" s="316">
        <f t="shared" si="71"/>
        <v>3</v>
      </c>
      <c r="M479" s="478"/>
    </row>
    <row r="480" s="291" customFormat="1" ht="24.95" customHeight="1" spans="1:13">
      <c r="A480" s="310">
        <v>22204</v>
      </c>
      <c r="B480" s="317" t="s">
        <v>520</v>
      </c>
      <c r="C480" s="489">
        <v>11372</v>
      </c>
      <c r="D480" s="490"/>
      <c r="E480" s="318">
        <f t="shared" si="69"/>
        <v>11372</v>
      </c>
      <c r="F480" s="490"/>
      <c r="G480" s="490"/>
      <c r="H480" s="318">
        <f t="shared" si="70"/>
        <v>11372</v>
      </c>
      <c r="I480" s="318">
        <v>11372</v>
      </c>
      <c r="J480" s="491">
        <f t="shared" si="65"/>
        <v>0</v>
      </c>
      <c r="K480" s="330"/>
      <c r="L480" s="316">
        <f t="shared" si="71"/>
        <v>5</v>
      </c>
      <c r="M480" s="478"/>
    </row>
    <row r="481" s="291" customFormat="1" ht="24.95" customHeight="1" spans="1:13">
      <c r="A481" s="310">
        <v>2220401</v>
      </c>
      <c r="B481" s="321" t="s">
        <v>521</v>
      </c>
      <c r="C481" s="492">
        <v>11372</v>
      </c>
      <c r="D481" s="322"/>
      <c r="E481" s="322">
        <f t="shared" si="69"/>
        <v>11372</v>
      </c>
      <c r="F481" s="322"/>
      <c r="G481" s="322"/>
      <c r="H481" s="322">
        <f t="shared" si="70"/>
        <v>11372</v>
      </c>
      <c r="I481" s="322">
        <v>11372</v>
      </c>
      <c r="J481" s="494">
        <f t="shared" si="65"/>
        <v>0</v>
      </c>
      <c r="K481" s="326"/>
      <c r="L481" s="316">
        <f t="shared" si="71"/>
        <v>7</v>
      </c>
      <c r="M481" s="478"/>
    </row>
    <row r="482" s="291" customFormat="1" ht="45" customHeight="1" spans="1:13">
      <c r="A482" s="310">
        <v>224</v>
      </c>
      <c r="B482" s="311" t="s">
        <v>522</v>
      </c>
      <c r="C482" s="487">
        <f>51194-755-14</f>
        <v>50425</v>
      </c>
      <c r="D482" s="313"/>
      <c r="E482" s="312">
        <f t="shared" si="69"/>
        <v>50425</v>
      </c>
      <c r="F482" s="313"/>
      <c r="G482" s="313"/>
      <c r="H482" s="312">
        <f t="shared" si="70"/>
        <v>50425</v>
      </c>
      <c r="I482" s="312">
        <f>I483+I489+I494+I496+I498</f>
        <v>60297</v>
      </c>
      <c r="J482" s="488">
        <f t="shared" si="65"/>
        <v>0.195775904809123</v>
      </c>
      <c r="K482" s="313"/>
      <c r="L482" s="316">
        <f t="shared" si="71"/>
        <v>3</v>
      </c>
      <c r="M482" s="478"/>
    </row>
    <row r="483" s="291" customFormat="1" ht="24.95" customHeight="1" spans="1:13">
      <c r="A483" s="310">
        <v>22401</v>
      </c>
      <c r="B483" s="317" t="s">
        <v>523</v>
      </c>
      <c r="C483" s="489">
        <f>41231-755-14</f>
        <v>40462</v>
      </c>
      <c r="D483" s="490"/>
      <c r="E483" s="318">
        <f t="shared" si="69"/>
        <v>40462</v>
      </c>
      <c r="F483" s="490"/>
      <c r="G483" s="490"/>
      <c r="H483" s="318">
        <f t="shared" si="70"/>
        <v>40462</v>
      </c>
      <c r="I483" s="318">
        <f>SUM(I484:I488)</f>
        <v>40451</v>
      </c>
      <c r="J483" s="491">
        <f t="shared" si="65"/>
        <v>-0.000271860016805903</v>
      </c>
      <c r="K483" s="330"/>
      <c r="L483" s="316">
        <f t="shared" si="71"/>
        <v>5</v>
      </c>
      <c r="M483" s="478"/>
    </row>
    <row r="484" s="291" customFormat="1" ht="42.95" customHeight="1" spans="1:13">
      <c r="A484" s="310">
        <v>2240101</v>
      </c>
      <c r="B484" s="321" t="s">
        <v>49</v>
      </c>
      <c r="C484" s="492">
        <v>2531</v>
      </c>
      <c r="D484" s="322"/>
      <c r="E484" s="322">
        <f t="shared" si="69"/>
        <v>2531</v>
      </c>
      <c r="F484" s="322"/>
      <c r="G484" s="322"/>
      <c r="H484" s="322">
        <f t="shared" si="70"/>
        <v>2531</v>
      </c>
      <c r="I484" s="322">
        <v>3265</v>
      </c>
      <c r="J484" s="494">
        <f t="shared" si="65"/>
        <v>0.290003951007507</v>
      </c>
      <c r="K484" s="326" t="s">
        <v>524</v>
      </c>
      <c r="L484" s="316">
        <f t="shared" si="71"/>
        <v>7</v>
      </c>
      <c r="M484" s="478"/>
    </row>
    <row r="485" s="291" customFormat="1" ht="47.1" customHeight="1" spans="1:13">
      <c r="A485" s="310">
        <v>2240102</v>
      </c>
      <c r="B485" s="321" t="s">
        <v>50</v>
      </c>
      <c r="C485" s="492">
        <v>463</v>
      </c>
      <c r="D485" s="322"/>
      <c r="E485" s="322">
        <f t="shared" si="69"/>
        <v>463</v>
      </c>
      <c r="F485" s="322"/>
      <c r="G485" s="322"/>
      <c r="H485" s="322">
        <f t="shared" si="70"/>
        <v>463</v>
      </c>
      <c r="I485" s="322">
        <v>710</v>
      </c>
      <c r="J485" s="494">
        <f t="shared" si="65"/>
        <v>0.533477321814255</v>
      </c>
      <c r="K485" s="326" t="s">
        <v>525</v>
      </c>
      <c r="L485" s="316">
        <f t="shared" si="71"/>
        <v>7</v>
      </c>
      <c r="M485" s="478"/>
    </row>
    <row r="486" s="291" customFormat="1" ht="36.75" customHeight="1" spans="1:13">
      <c r="A486" s="310">
        <v>2240106</v>
      </c>
      <c r="B486" s="321" t="s">
        <v>526</v>
      </c>
      <c r="C486" s="492">
        <v>36974</v>
      </c>
      <c r="D486" s="322"/>
      <c r="E486" s="322">
        <f t="shared" si="69"/>
        <v>36974</v>
      </c>
      <c r="F486" s="322"/>
      <c r="G486" s="322"/>
      <c r="H486" s="322">
        <f t="shared" si="70"/>
        <v>36974</v>
      </c>
      <c r="I486" s="322">
        <v>36042</v>
      </c>
      <c r="J486" s="494">
        <f t="shared" si="65"/>
        <v>-0.025206902147455</v>
      </c>
      <c r="K486" s="326" t="s">
        <v>527</v>
      </c>
      <c r="L486" s="316">
        <f t="shared" si="71"/>
        <v>7</v>
      </c>
      <c r="M486" s="478"/>
    </row>
    <row r="487" s="291" customFormat="1" ht="24.95" customHeight="1" spans="1:13">
      <c r="A487" s="310">
        <v>2240108</v>
      </c>
      <c r="B487" s="321" t="s">
        <v>528</v>
      </c>
      <c r="C487" s="492">
        <f>950-755-14</f>
        <v>181</v>
      </c>
      <c r="D487" s="322"/>
      <c r="E487" s="322">
        <f t="shared" si="69"/>
        <v>181</v>
      </c>
      <c r="F487" s="322"/>
      <c r="G487" s="322"/>
      <c r="H487" s="322">
        <f t="shared" si="70"/>
        <v>181</v>
      </c>
      <c r="I487" s="322">
        <v>164</v>
      </c>
      <c r="J487" s="494">
        <f t="shared" si="65"/>
        <v>-0.0939226519337016</v>
      </c>
      <c r="K487" s="326"/>
      <c r="L487" s="316">
        <f t="shared" si="71"/>
        <v>7</v>
      </c>
      <c r="M487" s="478"/>
    </row>
    <row r="488" s="291" customFormat="1" ht="24.95" customHeight="1" spans="1:13">
      <c r="A488" s="310">
        <v>2240109</v>
      </c>
      <c r="B488" s="321" t="s">
        <v>529</v>
      </c>
      <c r="C488" s="492">
        <v>313</v>
      </c>
      <c r="D488" s="322"/>
      <c r="E488" s="322">
        <f t="shared" si="69"/>
        <v>313</v>
      </c>
      <c r="F488" s="322"/>
      <c r="G488" s="322"/>
      <c r="H488" s="322">
        <f t="shared" si="70"/>
        <v>313</v>
      </c>
      <c r="I488" s="322">
        <v>270</v>
      </c>
      <c r="J488" s="494">
        <f t="shared" si="65"/>
        <v>-0.137380191693291</v>
      </c>
      <c r="K488" s="326"/>
      <c r="L488" s="316">
        <f t="shared" si="71"/>
        <v>7</v>
      </c>
      <c r="M488" s="478"/>
    </row>
    <row r="489" s="291" customFormat="1" ht="24.95" customHeight="1" spans="1:13">
      <c r="A489" s="310">
        <v>22402</v>
      </c>
      <c r="B489" s="317" t="s">
        <v>530</v>
      </c>
      <c r="C489" s="489">
        <v>9963</v>
      </c>
      <c r="D489" s="490"/>
      <c r="E489" s="318">
        <f t="shared" si="69"/>
        <v>9963</v>
      </c>
      <c r="F489" s="490"/>
      <c r="G489" s="490"/>
      <c r="H489" s="318">
        <f t="shared" si="70"/>
        <v>9963</v>
      </c>
      <c r="I489" s="318">
        <f>SUM(I490:I493)</f>
        <v>19482</v>
      </c>
      <c r="J489" s="491">
        <f t="shared" si="65"/>
        <v>0.955435109906655</v>
      </c>
      <c r="K489" s="330"/>
      <c r="L489" s="316">
        <f t="shared" si="71"/>
        <v>5</v>
      </c>
      <c r="M489" s="478"/>
    </row>
    <row r="490" s="291" customFormat="1" ht="24.95" customHeight="1" spans="1:13">
      <c r="A490" s="310">
        <v>2240201</v>
      </c>
      <c r="B490" s="321" t="s">
        <v>49</v>
      </c>
      <c r="C490" s="492">
        <v>2994</v>
      </c>
      <c r="D490" s="322"/>
      <c r="E490" s="322">
        <f t="shared" si="69"/>
        <v>2994</v>
      </c>
      <c r="F490" s="322"/>
      <c r="G490" s="322"/>
      <c r="H490" s="322">
        <f t="shared" si="70"/>
        <v>2994</v>
      </c>
      <c r="I490" s="322">
        <v>615</v>
      </c>
      <c r="J490" s="494">
        <f t="shared" si="65"/>
        <v>-0.794589178356713</v>
      </c>
      <c r="K490" s="326" t="s">
        <v>531</v>
      </c>
      <c r="L490" s="316">
        <f t="shared" si="71"/>
        <v>7</v>
      </c>
      <c r="M490" s="478"/>
    </row>
    <row r="491" s="291" customFormat="1" ht="24.95" customHeight="1" spans="1:13">
      <c r="A491" s="310">
        <v>2240202</v>
      </c>
      <c r="B491" s="321" t="s">
        <v>532</v>
      </c>
      <c r="C491" s="492"/>
      <c r="D491" s="322"/>
      <c r="E491" s="322">
        <v>0</v>
      </c>
      <c r="F491" s="322"/>
      <c r="G491" s="322"/>
      <c r="H491" s="322">
        <v>0</v>
      </c>
      <c r="I491" s="322">
        <v>53</v>
      </c>
      <c r="J491" s="495">
        <v>0</v>
      </c>
      <c r="K491" s="326" t="s">
        <v>533</v>
      </c>
      <c r="L491" s="316"/>
      <c r="M491" s="478"/>
    </row>
    <row r="492" s="291" customFormat="1" ht="24.95" customHeight="1" spans="1:13">
      <c r="A492" s="310">
        <v>2240204</v>
      </c>
      <c r="B492" s="321" t="s">
        <v>534</v>
      </c>
      <c r="C492" s="492">
        <v>5099</v>
      </c>
      <c r="D492" s="322"/>
      <c r="E492" s="322">
        <f>C492+D492</f>
        <v>5099</v>
      </c>
      <c r="F492" s="322"/>
      <c r="G492" s="322"/>
      <c r="H492" s="322">
        <f t="shared" ref="H492:H497" si="72">E492-F492-G492</f>
        <v>5099</v>
      </c>
      <c r="I492" s="349">
        <v>4543</v>
      </c>
      <c r="J492" s="494">
        <f t="shared" si="65"/>
        <v>-0.109040988429104</v>
      </c>
      <c r="K492" s="326"/>
      <c r="L492" s="316">
        <f>LEN(A492)</f>
        <v>7</v>
      </c>
      <c r="M492" s="478"/>
    </row>
    <row r="493" s="291" customFormat="1" ht="61.5" customHeight="1" spans="1:13">
      <c r="A493" s="310">
        <v>2240299</v>
      </c>
      <c r="B493" s="321" t="s">
        <v>535</v>
      </c>
      <c r="C493" s="492">
        <v>1870</v>
      </c>
      <c r="D493" s="322"/>
      <c r="E493" s="322">
        <f>C493+D493</f>
        <v>1870</v>
      </c>
      <c r="F493" s="322"/>
      <c r="G493" s="322"/>
      <c r="H493" s="322">
        <f t="shared" si="72"/>
        <v>1870</v>
      </c>
      <c r="I493" s="322">
        <v>14271</v>
      </c>
      <c r="J493" s="494">
        <f t="shared" si="65"/>
        <v>6.63155080213904</v>
      </c>
      <c r="K493" s="338" t="s">
        <v>536</v>
      </c>
      <c r="L493" s="316">
        <f>LEN(A493)</f>
        <v>7</v>
      </c>
      <c r="M493" s="478"/>
    </row>
    <row r="494" s="291" customFormat="1" ht="24.95" customHeight="1" spans="1:13">
      <c r="A494" s="310">
        <v>22403</v>
      </c>
      <c r="B494" s="317" t="s">
        <v>537</v>
      </c>
      <c r="C494" s="492"/>
      <c r="D494" s="322"/>
      <c r="E494" s="318"/>
      <c r="F494" s="318"/>
      <c r="G494" s="318"/>
      <c r="H494" s="318"/>
      <c r="I494" s="318">
        <f>I495</f>
        <v>241</v>
      </c>
      <c r="J494" s="496">
        <v>0</v>
      </c>
      <c r="K494" s="330"/>
      <c r="L494" s="316"/>
      <c r="M494" s="478"/>
    </row>
    <row r="495" s="291" customFormat="1" ht="45" customHeight="1" spans="1:13">
      <c r="A495" s="310">
        <v>2240399</v>
      </c>
      <c r="B495" s="321" t="s">
        <v>538</v>
      </c>
      <c r="C495" s="492"/>
      <c r="D495" s="322"/>
      <c r="E495" s="322"/>
      <c r="F495" s="322"/>
      <c r="G495" s="322"/>
      <c r="H495" s="322"/>
      <c r="I495" s="322">
        <v>241</v>
      </c>
      <c r="J495" s="495">
        <v>0</v>
      </c>
      <c r="K495" s="326" t="s">
        <v>539</v>
      </c>
      <c r="L495" s="316"/>
      <c r="M495" s="478"/>
    </row>
    <row r="496" s="291" customFormat="1" ht="24.95" customHeight="1" spans="1:13">
      <c r="A496" s="310">
        <v>22406</v>
      </c>
      <c r="B496" s="317" t="s">
        <v>540</v>
      </c>
      <c r="C496" s="504"/>
      <c r="D496" s="504"/>
      <c r="E496" s="505"/>
      <c r="F496" s="504"/>
      <c r="G496" s="504"/>
      <c r="H496" s="318">
        <f t="shared" si="72"/>
        <v>0</v>
      </c>
      <c r="I496" s="318">
        <f t="shared" ref="I496:I501" si="73">I497</f>
        <v>117</v>
      </c>
      <c r="J496" s="496">
        <v>0</v>
      </c>
      <c r="K496" s="330"/>
      <c r="L496" s="316">
        <v>5</v>
      </c>
      <c r="M496" s="478"/>
    </row>
    <row r="497" s="291" customFormat="1" ht="24.95" customHeight="1" spans="1:13">
      <c r="A497" s="310">
        <v>2240699</v>
      </c>
      <c r="B497" s="321" t="s">
        <v>541</v>
      </c>
      <c r="C497" s="492"/>
      <c r="D497" s="322"/>
      <c r="E497" s="322"/>
      <c r="F497" s="322"/>
      <c r="G497" s="322"/>
      <c r="H497" s="322">
        <f t="shared" si="72"/>
        <v>0</v>
      </c>
      <c r="I497" s="322">
        <v>117</v>
      </c>
      <c r="J497" s="495">
        <v>0</v>
      </c>
      <c r="K497" s="326" t="s">
        <v>542</v>
      </c>
      <c r="L497" s="316">
        <v>7</v>
      </c>
      <c r="M497" s="478"/>
    </row>
    <row r="498" s="291" customFormat="1" ht="65.1" customHeight="1" spans="1:13">
      <c r="A498" s="310">
        <v>22499</v>
      </c>
      <c r="B498" s="317" t="s">
        <v>543</v>
      </c>
      <c r="C498" s="499"/>
      <c r="D498" s="318"/>
      <c r="E498" s="318"/>
      <c r="F498" s="318"/>
      <c r="G498" s="318"/>
      <c r="H498" s="318"/>
      <c r="I498" s="318">
        <v>6</v>
      </c>
      <c r="J498" s="496">
        <v>0</v>
      </c>
      <c r="K498" s="330" t="s">
        <v>544</v>
      </c>
      <c r="L498" s="316"/>
      <c r="M498" s="478"/>
    </row>
    <row r="499" s="291" customFormat="1" ht="24.95" customHeight="1" spans="1:13">
      <c r="A499" s="310">
        <v>227</v>
      </c>
      <c r="B499" s="311" t="s">
        <v>545</v>
      </c>
      <c r="C499" s="487"/>
      <c r="D499" s="313">
        <v>80000</v>
      </c>
      <c r="E499" s="312">
        <f t="shared" ref="E499:E505" si="74">C499+D499</f>
        <v>80000</v>
      </c>
      <c r="F499" s="313"/>
      <c r="G499" s="313">
        <v>20000</v>
      </c>
      <c r="H499" s="312">
        <f t="shared" ref="H499:H507" si="75">E499-F499-G499</f>
        <v>60000</v>
      </c>
      <c r="I499" s="312">
        <v>0</v>
      </c>
      <c r="J499" s="488">
        <f t="shared" si="65"/>
        <v>-1</v>
      </c>
      <c r="K499" s="503"/>
      <c r="L499" s="316">
        <f t="shared" ref="L499:L506" si="76">LEN(A499)</f>
        <v>3</v>
      </c>
      <c r="M499" s="478"/>
    </row>
    <row r="500" s="291" customFormat="1" ht="24.95" customHeight="1" spans="1:13">
      <c r="A500" s="310">
        <v>229</v>
      </c>
      <c r="B500" s="311" t="s">
        <v>546</v>
      </c>
      <c r="C500" s="487">
        <v>118182</v>
      </c>
      <c r="D500" s="313">
        <v>361700</v>
      </c>
      <c r="E500" s="312">
        <f t="shared" si="74"/>
        <v>479882</v>
      </c>
      <c r="F500" s="313"/>
      <c r="G500" s="313">
        <f>SUM(G501)</f>
        <v>14985.751</v>
      </c>
      <c r="H500" s="312">
        <f t="shared" si="75"/>
        <v>464896.249</v>
      </c>
      <c r="I500" s="312">
        <f t="shared" si="73"/>
        <v>23743</v>
      </c>
      <c r="J500" s="488">
        <f t="shared" si="65"/>
        <v>-0.948928389826608</v>
      </c>
      <c r="K500" s="313"/>
      <c r="L500" s="316">
        <f t="shared" si="76"/>
        <v>3</v>
      </c>
      <c r="M500" s="478"/>
    </row>
    <row r="501" s="291" customFormat="1" ht="24.95" customHeight="1" spans="1:13">
      <c r="A501" s="310">
        <v>22999</v>
      </c>
      <c r="B501" s="317" t="s">
        <v>547</v>
      </c>
      <c r="C501" s="489">
        <v>118182</v>
      </c>
      <c r="D501" s="490">
        <v>361700</v>
      </c>
      <c r="E501" s="318">
        <f t="shared" si="74"/>
        <v>479882</v>
      </c>
      <c r="F501" s="490"/>
      <c r="G501" s="490">
        <f>SUM(G502)</f>
        <v>14985.751</v>
      </c>
      <c r="H501" s="318">
        <f t="shared" si="75"/>
        <v>464896.249</v>
      </c>
      <c r="I501" s="318">
        <f t="shared" si="73"/>
        <v>23743</v>
      </c>
      <c r="J501" s="491">
        <f t="shared" si="65"/>
        <v>-0.948928389826608</v>
      </c>
      <c r="K501" s="352"/>
      <c r="L501" s="316">
        <f t="shared" si="76"/>
        <v>5</v>
      </c>
      <c r="M501" s="478"/>
    </row>
    <row r="502" s="291" customFormat="1" ht="50.25" customHeight="1" spans="1:13">
      <c r="A502" s="310">
        <v>2299901</v>
      </c>
      <c r="B502" s="321" t="s">
        <v>548</v>
      </c>
      <c r="C502" s="492">
        <v>118182</v>
      </c>
      <c r="D502" s="322">
        <v>361700</v>
      </c>
      <c r="E502" s="322">
        <f t="shared" si="74"/>
        <v>479882</v>
      </c>
      <c r="F502" s="322"/>
      <c r="G502" s="322">
        <v>14985.751</v>
      </c>
      <c r="H502" s="322">
        <f t="shared" si="75"/>
        <v>464896.249</v>
      </c>
      <c r="I502" s="322">
        <v>23743</v>
      </c>
      <c r="J502" s="494">
        <f t="shared" si="65"/>
        <v>-0.948928389826608</v>
      </c>
      <c r="K502" s="326" t="s">
        <v>549</v>
      </c>
      <c r="L502" s="316">
        <f t="shared" si="76"/>
        <v>7</v>
      </c>
      <c r="M502" s="478"/>
    </row>
    <row r="503" s="291" customFormat="1" ht="24.95" customHeight="1" spans="1:13">
      <c r="A503" s="310">
        <v>232</v>
      </c>
      <c r="B503" s="311" t="s">
        <v>550</v>
      </c>
      <c r="C503" s="506"/>
      <c r="D503" s="507">
        <v>2000</v>
      </c>
      <c r="E503" s="312">
        <f t="shared" si="74"/>
        <v>2000</v>
      </c>
      <c r="F503" s="313"/>
      <c r="G503" s="313"/>
      <c r="H503" s="312">
        <f t="shared" si="75"/>
        <v>2000</v>
      </c>
      <c r="I503" s="312">
        <v>1905</v>
      </c>
      <c r="J503" s="488">
        <f t="shared" si="65"/>
        <v>-0.0475</v>
      </c>
      <c r="K503" s="508"/>
      <c r="L503" s="316">
        <f t="shared" si="76"/>
        <v>3</v>
      </c>
      <c r="M503" s="478"/>
    </row>
    <row r="504" s="291" customFormat="1" ht="45.95" customHeight="1" spans="1:13">
      <c r="A504" s="310">
        <v>23203</v>
      </c>
      <c r="B504" s="317" t="s">
        <v>551</v>
      </c>
      <c r="C504" s="509"/>
      <c r="D504" s="510">
        <v>2000</v>
      </c>
      <c r="E504" s="318">
        <f t="shared" si="74"/>
        <v>2000</v>
      </c>
      <c r="F504" s="490"/>
      <c r="G504" s="490"/>
      <c r="H504" s="318">
        <f t="shared" si="75"/>
        <v>2000</v>
      </c>
      <c r="I504" s="318">
        <v>1905</v>
      </c>
      <c r="J504" s="491">
        <f t="shared" si="65"/>
        <v>-0.0475</v>
      </c>
      <c r="K504" s="352"/>
      <c r="L504" s="316">
        <f t="shared" si="76"/>
        <v>5</v>
      </c>
      <c r="M504" s="478"/>
    </row>
    <row r="505" s="291" customFormat="1" ht="45" customHeight="1" spans="1:13">
      <c r="A505" s="310">
        <v>2320301</v>
      </c>
      <c r="B505" s="321" t="s">
        <v>552</v>
      </c>
      <c r="C505" s="511"/>
      <c r="D505" s="493">
        <v>2000</v>
      </c>
      <c r="E505" s="322">
        <f t="shared" si="74"/>
        <v>2000</v>
      </c>
      <c r="F505" s="322"/>
      <c r="G505" s="322"/>
      <c r="H505" s="322">
        <f t="shared" si="75"/>
        <v>2000</v>
      </c>
      <c r="I505" s="322">
        <v>1905</v>
      </c>
      <c r="J505" s="494">
        <f t="shared" si="65"/>
        <v>-0.0475</v>
      </c>
      <c r="K505" s="354"/>
      <c r="L505" s="316">
        <f t="shared" si="76"/>
        <v>7</v>
      </c>
      <c r="M505" s="478"/>
    </row>
    <row r="506" s="291" customFormat="1" ht="42" customHeight="1" spans="1:13">
      <c r="A506" s="310">
        <v>2320304</v>
      </c>
      <c r="B506" s="321" t="s">
        <v>553</v>
      </c>
      <c r="C506" s="511"/>
      <c r="D506" s="493"/>
      <c r="E506" s="493">
        <v>0</v>
      </c>
      <c r="F506" s="493"/>
      <c r="G506" s="493"/>
      <c r="H506" s="322">
        <f t="shared" si="75"/>
        <v>0</v>
      </c>
      <c r="I506" s="322"/>
      <c r="J506" s="495">
        <v>0</v>
      </c>
      <c r="K506" s="354"/>
      <c r="L506" s="316">
        <f t="shared" si="76"/>
        <v>7</v>
      </c>
      <c r="M506" s="478"/>
    </row>
    <row r="507" s="291" customFormat="1" ht="24.95" customHeight="1" spans="1:13">
      <c r="A507" s="512"/>
      <c r="B507" s="365" t="s">
        <v>554</v>
      </c>
      <c r="C507" s="513">
        <v>2804148</v>
      </c>
      <c r="D507" s="367">
        <f>852500+2000</f>
        <v>854500</v>
      </c>
      <c r="E507" s="367">
        <f>C507+D507</f>
        <v>3658648</v>
      </c>
      <c r="F507" s="367">
        <f>F53</f>
        <v>6918.159</v>
      </c>
      <c r="G507" s="367">
        <f>SUM(G499,G500,G471)</f>
        <v>42985.751</v>
      </c>
      <c r="H507" s="367">
        <f t="shared" si="75"/>
        <v>3608744.09</v>
      </c>
      <c r="I507" s="367">
        <f>I5+I134+I139+I182+I212+I232+I262+I329+I370+I384+I404+I435+I441+I458+I464+I471+I479+I482+I500+I503</f>
        <v>3569107</v>
      </c>
      <c r="J507" s="514">
        <f t="shared" si="65"/>
        <v>-0.0109836244996802</v>
      </c>
      <c r="K507" s="369"/>
      <c r="L507" s="316">
        <v>3</v>
      </c>
      <c r="M507" s="478"/>
    </row>
    <row r="508" s="291" customFormat="1" ht="24.95" customHeight="1" spans="1:13">
      <c r="A508" s="478"/>
      <c r="B508" s="311" t="s">
        <v>555</v>
      </c>
      <c r="C508" s="515"/>
      <c r="D508" s="515"/>
      <c r="E508" s="312">
        <f>E509+E510+E514+E515+E516+E517</f>
        <v>422811</v>
      </c>
      <c r="F508" s="516"/>
      <c r="G508" s="516"/>
      <c r="H508" s="312">
        <f>H509+H510+H514+H515+H516+H517</f>
        <v>422811</v>
      </c>
      <c r="I508" s="517">
        <f>I509+I510</f>
        <v>584218</v>
      </c>
      <c r="J508" s="488">
        <f t="shared" si="65"/>
        <v>0.381747400138596</v>
      </c>
      <c r="K508" s="518"/>
      <c r="L508" s="316">
        <v>3</v>
      </c>
      <c r="M508" s="478"/>
    </row>
    <row r="509" s="291" customFormat="1" ht="24.95" customHeight="1" spans="1:13">
      <c r="A509" s="478"/>
      <c r="B509" s="359" t="s">
        <v>556</v>
      </c>
      <c r="C509" s="519"/>
      <c r="D509" s="519"/>
      <c r="E509" s="318">
        <f>415282+9529-2000</f>
        <v>422811</v>
      </c>
      <c r="F509" s="520"/>
      <c r="G509" s="520"/>
      <c r="H509" s="318">
        <f>415282+9529-2000</f>
        <v>422811</v>
      </c>
      <c r="I509" s="318">
        <v>243759</v>
      </c>
      <c r="J509" s="491">
        <f t="shared" si="65"/>
        <v>-0.42347999460752</v>
      </c>
      <c r="K509" s="360"/>
      <c r="L509" s="316">
        <v>5</v>
      </c>
      <c r="M509" s="478"/>
    </row>
    <row r="510" s="291" customFormat="1" ht="24.95" customHeight="1" spans="1:13">
      <c r="A510" s="478"/>
      <c r="B510" s="361" t="s">
        <v>557</v>
      </c>
      <c r="C510" s="521"/>
      <c r="D510" s="521"/>
      <c r="E510" s="522">
        <v>0</v>
      </c>
      <c r="F510" s="522"/>
      <c r="G510" s="522"/>
      <c r="H510" s="322"/>
      <c r="I510" s="322">
        <v>340459</v>
      </c>
      <c r="J510" s="494" t="s">
        <v>20</v>
      </c>
      <c r="K510" s="362"/>
      <c r="L510" s="316">
        <v>7</v>
      </c>
      <c r="M510" s="478"/>
    </row>
    <row r="511" s="291" customFormat="1" ht="30.95" customHeight="1" spans="1:13">
      <c r="A511" s="478"/>
      <c r="B511" s="363" t="s">
        <v>558</v>
      </c>
      <c r="C511" s="521"/>
      <c r="D511" s="521"/>
      <c r="E511" s="522">
        <v>0</v>
      </c>
      <c r="F511" s="522"/>
      <c r="G511" s="522"/>
      <c r="H511" s="322"/>
      <c r="I511" s="322">
        <v>340459</v>
      </c>
      <c r="J511" s="494" t="s">
        <v>20</v>
      </c>
      <c r="K511" s="362"/>
      <c r="L511" s="316">
        <v>7</v>
      </c>
      <c r="M511" s="478"/>
    </row>
    <row r="512" s="291" customFormat="1" ht="24.95" customHeight="1" spans="1:13">
      <c r="A512" s="478"/>
      <c r="B512" s="363" t="s">
        <v>559</v>
      </c>
      <c r="C512" s="521"/>
      <c r="D512" s="521"/>
      <c r="E512" s="522"/>
      <c r="F512" s="522"/>
      <c r="G512" s="522"/>
      <c r="H512" s="322"/>
      <c r="I512" s="523"/>
      <c r="J512" s="494"/>
      <c r="K512" s="362"/>
      <c r="L512" s="316">
        <v>7</v>
      </c>
      <c r="M512" s="478"/>
    </row>
    <row r="513" s="291" customFormat="1" ht="24.95" customHeight="1" spans="1:13">
      <c r="A513" s="478"/>
      <c r="B513" s="363" t="s">
        <v>560</v>
      </c>
      <c r="C513" s="521"/>
      <c r="D513" s="521"/>
      <c r="E513" s="522"/>
      <c r="F513" s="522"/>
      <c r="G513" s="522"/>
      <c r="H513" s="322"/>
      <c r="I513" s="322"/>
      <c r="J513" s="494"/>
      <c r="K513" s="362"/>
      <c r="L513" s="316">
        <v>7</v>
      </c>
      <c r="M513" s="478"/>
    </row>
    <row r="514" s="291" customFormat="1" ht="24.95" customHeight="1" spans="1:13">
      <c r="A514" s="478"/>
      <c r="B514" s="361" t="s">
        <v>561</v>
      </c>
      <c r="C514" s="521"/>
      <c r="D514" s="521"/>
      <c r="E514" s="522"/>
      <c r="F514" s="522"/>
      <c r="G514" s="522"/>
      <c r="H514" s="322"/>
      <c r="I514" s="322"/>
      <c r="J514" s="494"/>
      <c r="K514" s="362"/>
      <c r="L514" s="316">
        <v>7</v>
      </c>
      <c r="M514" s="478"/>
    </row>
    <row r="515" s="291" customFormat="1" ht="41.1" customHeight="1" spans="1:13">
      <c r="A515" s="478"/>
      <c r="B515" s="363" t="s">
        <v>562</v>
      </c>
      <c r="C515" s="521"/>
      <c r="D515" s="521"/>
      <c r="E515" s="522"/>
      <c r="F515" s="522"/>
      <c r="G515" s="522"/>
      <c r="H515" s="322"/>
      <c r="I515" s="322"/>
      <c r="J515" s="494"/>
      <c r="K515" s="364"/>
      <c r="L515" s="316">
        <v>7</v>
      </c>
      <c r="M515" s="478"/>
    </row>
    <row r="516" s="291" customFormat="1" ht="39" customHeight="1" spans="1:13">
      <c r="A516" s="478"/>
      <c r="B516" s="363" t="s">
        <v>563</v>
      </c>
      <c r="C516" s="521"/>
      <c r="D516" s="521"/>
      <c r="E516" s="522"/>
      <c r="F516" s="522"/>
      <c r="G516" s="522"/>
      <c r="H516" s="322"/>
      <c r="I516" s="322"/>
      <c r="J516" s="494"/>
      <c r="K516" s="362"/>
      <c r="L516" s="316">
        <v>7</v>
      </c>
      <c r="M516" s="478"/>
    </row>
    <row r="517" s="291" customFormat="1" ht="24.95" customHeight="1" spans="1:13">
      <c r="A517" s="478"/>
      <c r="B517" s="363" t="s">
        <v>564</v>
      </c>
      <c r="C517" s="521"/>
      <c r="D517" s="521"/>
      <c r="E517" s="522"/>
      <c r="F517" s="522"/>
      <c r="G517" s="522"/>
      <c r="H517" s="322"/>
      <c r="I517" s="322"/>
      <c r="J517" s="494"/>
      <c r="K517" s="362"/>
      <c r="L517" s="316">
        <v>7</v>
      </c>
      <c r="M517" s="478"/>
    </row>
    <row r="518" s="291" customFormat="1" ht="24.95" customHeight="1" spans="1:13">
      <c r="A518" s="478"/>
      <c r="B518" s="365" t="s">
        <v>565</v>
      </c>
      <c r="C518" s="513"/>
      <c r="D518" s="367"/>
      <c r="E518" s="367">
        <f t="shared" ref="E518:I518" si="77">E507+E508</f>
        <v>4081459</v>
      </c>
      <c r="F518" s="367"/>
      <c r="G518" s="367"/>
      <c r="H518" s="367">
        <f t="shared" si="77"/>
        <v>4031555.09</v>
      </c>
      <c r="I518" s="367">
        <f t="shared" si="77"/>
        <v>4153325</v>
      </c>
      <c r="J518" s="514">
        <f>I518/H518-1</f>
        <v>0.0302042034107488</v>
      </c>
      <c r="K518" s="367"/>
      <c r="L518" s="316">
        <v>3</v>
      </c>
      <c r="M518" s="478"/>
    </row>
    <row r="519" s="292" customFormat="1" customHeight="1" spans="1:13">
      <c r="A519" s="291"/>
      <c r="B519" s="293"/>
      <c r="C519" s="290"/>
      <c r="D519" s="291"/>
      <c r="E519" s="290"/>
      <c r="F519" s="290"/>
      <c r="G519" s="290"/>
      <c r="H519" s="290"/>
      <c r="I519" s="290"/>
      <c r="K519" s="296"/>
      <c r="L519" s="291"/>
    </row>
  </sheetData>
  <autoFilter xmlns:etc="http://www.wps.cn/officeDocument/2017/etCustomData" ref="A4:M518" etc:filterBottomFollowUsedRange="0">
    <extLst/>
  </autoFilter>
  <mergeCells count="1">
    <mergeCell ref="B2:K2"/>
  </mergeCells>
  <printOptions horizontalCentered="1"/>
  <pageMargins left="0.59" right="0.59" top="0.79" bottom="0.79" header="0.2" footer="0.08"/>
  <pageSetup paperSize="9" scale="65" orientation="portrait"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G10" sqref="G10"/>
    </sheetView>
  </sheetViews>
  <sheetFormatPr defaultColWidth="9" defaultRowHeight="13.5" outlineLevelRow="5"/>
  <cols>
    <col min="1" max="1" width="12.625" style="47" customWidth="1"/>
    <col min="2" max="2" width="15.75" style="47" customWidth="1"/>
    <col min="3" max="8" width="10.75" style="47" customWidth="1"/>
    <col min="9" max="9" width="19.75" style="47" customWidth="1"/>
    <col min="10" max="16384" width="9" style="47"/>
  </cols>
  <sheetData>
    <row r="1" ht="16.5" spans="1:9">
      <c r="A1" s="48" t="s">
        <v>1329</v>
      </c>
      <c r="B1" s="48"/>
    </row>
    <row r="2" ht="20.25" spans="1:9">
      <c r="A2" s="49" t="s">
        <v>1330</v>
      </c>
      <c r="B2" s="49"/>
      <c r="C2" s="49"/>
      <c r="D2" s="49"/>
      <c r="E2" s="49"/>
      <c r="F2" s="49"/>
      <c r="G2" s="49"/>
      <c r="H2" s="49"/>
      <c r="I2" s="49"/>
    </row>
    <row r="3" ht="20.25" spans="1:9">
      <c r="A3" s="50"/>
      <c r="B3" s="51"/>
      <c r="C3" s="51"/>
      <c r="D3" s="52"/>
      <c r="E3" s="52"/>
      <c r="F3" s="52"/>
      <c r="G3" s="52"/>
      <c r="H3" s="50"/>
      <c r="I3" s="53" t="s">
        <v>1284</v>
      </c>
    </row>
    <row r="4" ht="38" customHeight="1" spans="1:9">
      <c r="A4" s="54" t="s">
        <v>1331</v>
      </c>
      <c r="B4" s="54" t="s">
        <v>1285</v>
      </c>
      <c r="C4" s="55" t="s">
        <v>1332</v>
      </c>
      <c r="D4" s="54" t="s">
        <v>1333</v>
      </c>
      <c r="E4" s="54" t="s">
        <v>1334</v>
      </c>
      <c r="F4" s="54" t="s">
        <v>1335</v>
      </c>
      <c r="G4" s="54" t="s">
        <v>1336</v>
      </c>
      <c r="H4" s="55" t="s">
        <v>1337</v>
      </c>
      <c r="I4" s="54" t="s">
        <v>1338</v>
      </c>
    </row>
    <row r="5" ht="28" customHeight="1" spans="1:9">
      <c r="A5" s="56" t="s">
        <v>1339</v>
      </c>
      <c r="B5" s="57" t="s">
        <v>1328</v>
      </c>
      <c r="C5" s="58">
        <v>5</v>
      </c>
      <c r="D5" s="58">
        <v>0</v>
      </c>
      <c r="E5" s="58">
        <v>0</v>
      </c>
      <c r="F5" s="58">
        <v>0</v>
      </c>
      <c r="G5" s="58">
        <v>0</v>
      </c>
      <c r="H5" s="58">
        <v>5</v>
      </c>
      <c r="I5" s="56" t="s">
        <v>1340</v>
      </c>
    </row>
    <row r="6" ht="28" customHeight="1" spans="1:9">
      <c r="A6" s="56" t="s">
        <v>1341</v>
      </c>
      <c r="B6" s="57" t="s">
        <v>1328</v>
      </c>
      <c r="C6" s="58">
        <v>64</v>
      </c>
      <c r="D6" s="58">
        <v>0</v>
      </c>
      <c r="E6" s="58">
        <v>0</v>
      </c>
      <c r="F6" s="58">
        <v>8</v>
      </c>
      <c r="G6" s="58">
        <v>8</v>
      </c>
      <c r="H6" s="58">
        <v>48</v>
      </c>
      <c r="I6" s="56" t="s">
        <v>1342</v>
      </c>
    </row>
  </sheetData>
  <mergeCells count="2">
    <mergeCell ref="A2:I2"/>
    <mergeCell ref="B3:C3"/>
  </mergeCells>
  <printOptions horizontalCentered="1"/>
  <pageMargins left="0.59" right="0.59" top="0.79" bottom="0.79" header="0.16" footer="0.51"/>
  <pageSetup paperSize="9"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H13" sqref="H13"/>
    </sheetView>
  </sheetViews>
  <sheetFormatPr defaultColWidth="9" defaultRowHeight="14.25" outlineLevelCol="5"/>
  <cols>
    <col min="1" max="1" width="29" customWidth="1"/>
    <col min="2" max="6" width="10.625" customWidth="1"/>
  </cols>
  <sheetData>
    <row r="1" ht="18" customHeight="1" spans="1:6">
      <c r="A1" s="39" t="s">
        <v>1343</v>
      </c>
      <c r="B1" s="40"/>
      <c r="C1" s="40"/>
      <c r="D1" s="40"/>
      <c r="E1" s="40"/>
      <c r="F1" s="40"/>
    </row>
    <row r="2" ht="30" customHeight="1" spans="1:6">
      <c r="A2" s="41" t="s">
        <v>1344</v>
      </c>
      <c r="B2" s="41"/>
      <c r="C2" s="41"/>
      <c r="D2" s="41"/>
      <c r="E2" s="41"/>
      <c r="F2" s="41"/>
    </row>
    <row r="3" ht="21" customHeight="1" spans="1:6">
      <c r="A3" s="40"/>
      <c r="B3" s="40"/>
      <c r="C3" s="40"/>
      <c r="D3" s="40"/>
      <c r="E3" s="40"/>
      <c r="F3" s="42" t="s">
        <v>38</v>
      </c>
    </row>
    <row r="4" ht="21" customHeight="1" spans="1:6">
      <c r="A4" s="43"/>
      <c r="B4" s="44" t="s">
        <v>570</v>
      </c>
      <c r="C4" s="44" t="s">
        <v>1345</v>
      </c>
      <c r="D4" s="44" t="s">
        <v>1346</v>
      </c>
      <c r="E4" s="44" t="s">
        <v>1347</v>
      </c>
      <c r="F4" s="44" t="s">
        <v>1348</v>
      </c>
    </row>
    <row r="5" ht="30" customHeight="1" spans="1:6">
      <c r="A5" s="45" t="s">
        <v>1349</v>
      </c>
      <c r="B5" s="46">
        <v>0</v>
      </c>
      <c r="C5" s="44"/>
      <c r="D5" s="44"/>
      <c r="E5" s="44"/>
      <c r="F5" s="44"/>
    </row>
    <row r="6" ht="30" customHeight="1" spans="1:6">
      <c r="A6" s="45" t="s">
        <v>1350</v>
      </c>
      <c r="B6" s="46">
        <v>0</v>
      </c>
      <c r="C6" s="44"/>
      <c r="D6" s="44"/>
      <c r="E6" s="44"/>
      <c r="F6" s="44"/>
    </row>
    <row r="7" ht="30" customHeight="1" spans="1:6">
      <c r="A7" s="45" t="s">
        <v>1351</v>
      </c>
      <c r="B7" s="46">
        <v>0</v>
      </c>
      <c r="C7" s="44"/>
      <c r="D7" s="44"/>
      <c r="E7" s="44"/>
      <c r="F7" s="44"/>
    </row>
    <row r="8" ht="30" customHeight="1" spans="1:6">
      <c r="A8" s="45" t="s">
        <v>1352</v>
      </c>
      <c r="B8" s="46">
        <v>0</v>
      </c>
      <c r="C8" s="44"/>
      <c r="D8" s="44"/>
      <c r="E8" s="44"/>
      <c r="F8" s="44"/>
    </row>
    <row r="9" ht="30" customHeight="1" spans="1:6">
      <c r="A9" s="45" t="s">
        <v>1353</v>
      </c>
      <c r="B9" s="46">
        <v>0</v>
      </c>
      <c r="C9" s="44"/>
      <c r="D9" s="44"/>
      <c r="E9" s="44"/>
      <c r="F9" s="44"/>
    </row>
    <row r="10" ht="30" customHeight="1" spans="1:6">
      <c r="A10" s="45" t="s">
        <v>1354</v>
      </c>
      <c r="B10" s="46">
        <v>0</v>
      </c>
      <c r="C10" s="44"/>
      <c r="D10" s="44"/>
      <c r="E10" s="44"/>
      <c r="F10" s="44"/>
    </row>
  </sheetData>
  <mergeCells count="1">
    <mergeCell ref="A2:F2"/>
  </mergeCells>
  <printOptions horizontalCentered="1"/>
  <pageMargins left="0.59" right="0.59" top="0.79" bottom="0.79" header="0.16" footer="0.51"/>
  <pageSetup paperSize="9"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A1" sqref="A1"/>
    </sheetView>
  </sheetViews>
  <sheetFormatPr defaultColWidth="9" defaultRowHeight="13.5"/>
  <cols>
    <col min="1" max="1" width="16.375" style="29" customWidth="1"/>
    <col min="2" max="2" width="5.875" style="29"/>
    <col min="3" max="12" width="5.625" style="29" customWidth="1"/>
    <col min="13" max="13" width="7.625" style="29" customWidth="1"/>
    <col min="14" max="16384" width="9" style="29"/>
  </cols>
  <sheetData>
    <row r="1" ht="16.5" spans="1:13">
      <c r="A1" s="30" t="s">
        <v>1355</v>
      </c>
    </row>
    <row r="2" ht="34.5" customHeight="1" spans="1:13">
      <c r="A2" s="31" t="s">
        <v>1356</v>
      </c>
      <c r="B2" s="31"/>
      <c r="C2" s="31"/>
      <c r="D2" s="31"/>
      <c r="E2" s="31"/>
      <c r="F2" s="31"/>
      <c r="G2" s="31"/>
      <c r="H2" s="31"/>
      <c r="I2" s="31"/>
      <c r="J2" s="31"/>
      <c r="K2" s="31"/>
      <c r="L2" s="31"/>
      <c r="M2" s="31"/>
    </row>
    <row r="3" ht="16.5" spans="1:13">
      <c r="M3" s="32" t="s">
        <v>38</v>
      </c>
    </row>
    <row r="4" ht="75" customHeight="1" spans="1:13">
      <c r="A4" s="33" t="s">
        <v>1357</v>
      </c>
      <c r="B4" s="33" t="s">
        <v>570</v>
      </c>
      <c r="C4" s="34" t="s">
        <v>1358</v>
      </c>
      <c r="D4" s="34" t="s">
        <v>1359</v>
      </c>
      <c r="E4" s="34" t="s">
        <v>1360</v>
      </c>
      <c r="F4" s="34" t="s">
        <v>1361</v>
      </c>
      <c r="G4" s="34" t="s">
        <v>1362</v>
      </c>
      <c r="H4" s="34" t="s">
        <v>1359</v>
      </c>
      <c r="I4" s="34" t="s">
        <v>1363</v>
      </c>
      <c r="J4" s="34" t="s">
        <v>1364</v>
      </c>
      <c r="K4" s="34" t="s">
        <v>1365</v>
      </c>
      <c r="L4" s="34" t="s">
        <v>1366</v>
      </c>
      <c r="M4" s="34" t="s">
        <v>1367</v>
      </c>
    </row>
    <row r="5" ht="43.5" customHeight="1" spans="1:13">
      <c r="A5" s="35" t="s">
        <v>1368</v>
      </c>
      <c r="B5" s="36">
        <v>0</v>
      </c>
      <c r="C5" s="37"/>
      <c r="D5" s="37"/>
      <c r="E5" s="37"/>
      <c r="F5" s="37"/>
      <c r="G5" s="37"/>
      <c r="H5" s="37"/>
      <c r="I5" s="37"/>
      <c r="J5" s="37"/>
      <c r="K5" s="37"/>
      <c r="L5" s="37"/>
      <c r="M5" s="37"/>
    </row>
    <row r="6" ht="43.5" customHeight="1" spans="1:13">
      <c r="A6" s="37" t="s">
        <v>1369</v>
      </c>
      <c r="B6" s="36"/>
      <c r="C6" s="37"/>
      <c r="D6" s="37"/>
      <c r="E6" s="37"/>
      <c r="F6" s="37"/>
      <c r="G6" s="37"/>
      <c r="H6" s="37"/>
      <c r="I6" s="37"/>
      <c r="J6" s="37"/>
      <c r="K6" s="37"/>
      <c r="L6" s="37"/>
      <c r="M6" s="37"/>
    </row>
    <row r="7" ht="43.5" customHeight="1" spans="1:13">
      <c r="A7" s="37" t="s">
        <v>1370</v>
      </c>
      <c r="B7" s="36"/>
      <c r="C7" s="37"/>
      <c r="D7" s="37"/>
      <c r="E7" s="37"/>
      <c r="F7" s="37"/>
      <c r="G7" s="37"/>
      <c r="H7" s="37"/>
      <c r="I7" s="37"/>
      <c r="J7" s="37"/>
      <c r="K7" s="37"/>
      <c r="L7" s="37"/>
      <c r="M7" s="37"/>
    </row>
    <row r="8" ht="43.5" customHeight="1" spans="1:13">
      <c r="A8" s="37" t="s">
        <v>1371</v>
      </c>
      <c r="B8" s="36"/>
      <c r="C8" s="37"/>
      <c r="D8" s="37"/>
      <c r="E8" s="37"/>
      <c r="F8" s="37"/>
      <c r="G8" s="37"/>
      <c r="H8" s="37"/>
      <c r="I8" s="37"/>
      <c r="J8" s="37"/>
      <c r="K8" s="37"/>
      <c r="L8" s="37"/>
      <c r="M8" s="37"/>
    </row>
    <row r="9" ht="43.5" customHeight="1" spans="1:13">
      <c r="A9" s="37" t="s">
        <v>1372</v>
      </c>
      <c r="B9" s="36"/>
      <c r="C9" s="37"/>
      <c r="D9" s="37"/>
      <c r="E9" s="37"/>
      <c r="F9" s="37"/>
      <c r="G9" s="37"/>
      <c r="H9" s="37"/>
      <c r="I9" s="37"/>
      <c r="J9" s="37"/>
      <c r="K9" s="37"/>
      <c r="L9" s="37"/>
      <c r="M9" s="37"/>
    </row>
    <row r="10" ht="43.5" customHeight="1" spans="1:13">
      <c r="A10" s="37" t="s">
        <v>1373</v>
      </c>
      <c r="B10" s="36"/>
      <c r="C10" s="37"/>
      <c r="D10" s="37"/>
      <c r="E10" s="37"/>
      <c r="F10" s="37"/>
      <c r="G10" s="37"/>
      <c r="H10" s="37"/>
      <c r="I10" s="37"/>
      <c r="J10" s="37"/>
      <c r="K10" s="37"/>
      <c r="L10" s="37"/>
      <c r="M10" s="37"/>
    </row>
    <row r="11" ht="43.5" customHeight="1" spans="1:13">
      <c r="A11" s="35" t="s">
        <v>1374</v>
      </c>
      <c r="B11" s="36">
        <v>0</v>
      </c>
      <c r="C11" s="37"/>
      <c r="D11" s="37"/>
      <c r="E11" s="37"/>
      <c r="F11" s="37"/>
      <c r="G11" s="37"/>
      <c r="H11" s="37"/>
      <c r="I11" s="37"/>
      <c r="J11" s="37"/>
      <c r="K11" s="37"/>
      <c r="L11" s="37"/>
      <c r="M11" s="37"/>
    </row>
    <row r="12" ht="43.5" customHeight="1" spans="1:13">
      <c r="A12" s="38" t="s">
        <v>1375</v>
      </c>
      <c r="B12" s="36"/>
      <c r="C12" s="37"/>
      <c r="D12" s="37"/>
      <c r="E12" s="37"/>
      <c r="F12" s="37"/>
      <c r="G12" s="37"/>
      <c r="H12" s="37"/>
      <c r="I12" s="37"/>
      <c r="J12" s="37"/>
      <c r="K12" s="37"/>
      <c r="L12" s="37"/>
      <c r="M12" s="37"/>
    </row>
    <row r="13" ht="43.5" customHeight="1" spans="1:13">
      <c r="A13" s="37" t="s">
        <v>1376</v>
      </c>
      <c r="B13" s="36"/>
      <c r="C13" s="37"/>
      <c r="D13" s="37"/>
      <c r="E13" s="37"/>
      <c r="F13" s="37"/>
      <c r="G13" s="37"/>
      <c r="H13" s="37"/>
      <c r="I13" s="37"/>
      <c r="J13" s="37"/>
      <c r="K13" s="37"/>
      <c r="L13" s="37"/>
      <c r="M13" s="37"/>
    </row>
    <row r="14" ht="43.5" customHeight="1" spans="1:13">
      <c r="A14" s="37" t="s">
        <v>1377</v>
      </c>
      <c r="B14" s="36"/>
      <c r="C14" s="37"/>
      <c r="D14" s="37"/>
      <c r="E14" s="37"/>
      <c r="F14" s="37"/>
      <c r="G14" s="37"/>
      <c r="H14" s="37"/>
      <c r="I14" s="37"/>
      <c r="J14" s="37"/>
      <c r="K14" s="37"/>
      <c r="L14" s="37"/>
      <c r="M14" s="37"/>
    </row>
    <row r="15" ht="43.5" customHeight="1" spans="1:13">
      <c r="A15" s="35" t="s">
        <v>1378</v>
      </c>
      <c r="B15" s="36">
        <v>0</v>
      </c>
      <c r="C15" s="37"/>
      <c r="D15" s="37"/>
      <c r="E15" s="37"/>
      <c r="F15" s="37"/>
      <c r="G15" s="37"/>
      <c r="H15" s="37"/>
      <c r="I15" s="37"/>
      <c r="J15" s="37"/>
      <c r="K15" s="37"/>
      <c r="L15" s="37"/>
      <c r="M15" s="37"/>
    </row>
    <row r="16" ht="43.5" customHeight="1" spans="1:13">
      <c r="A16" s="35" t="s">
        <v>1379</v>
      </c>
      <c r="B16" s="36">
        <v>0</v>
      </c>
      <c r="C16" s="37"/>
      <c r="D16" s="37"/>
      <c r="E16" s="37"/>
      <c r="F16" s="37"/>
      <c r="G16" s="37"/>
      <c r="H16" s="37"/>
      <c r="I16" s="37"/>
      <c r="J16" s="37"/>
      <c r="K16" s="37"/>
      <c r="L16" s="37"/>
      <c r="M16" s="37"/>
    </row>
  </sheetData>
  <mergeCells count="1">
    <mergeCell ref="A2:M2"/>
  </mergeCells>
  <printOptions horizontalCentered="1"/>
  <pageMargins left="0.47" right="0.47" top="0.79" bottom="0.79" header="0.16" footer="0.51"/>
  <pageSetup paperSize="9"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2"/>
  <sheetViews>
    <sheetView tabSelected="1" zoomScale="85" zoomScaleNormal="85" zoomScaleSheetLayoutView="60" topLeftCell="A73" workbookViewId="0">
      <selection activeCell="I73" sqref="I73"/>
    </sheetView>
  </sheetViews>
  <sheetFormatPr defaultColWidth="9" defaultRowHeight="23.25" outlineLevelCol="5"/>
  <cols>
    <col min="1" max="1" width="5.75" style="2" customWidth="1"/>
    <col min="2" max="2" width="13.875" style="3" customWidth="1"/>
    <col min="3" max="3" width="15.625" style="3" customWidth="1"/>
    <col min="4" max="4" width="49" style="4" customWidth="1"/>
    <col min="5" max="5" width="19.25" style="5" customWidth="1"/>
    <col min="6" max="6" width="13.375" style="5" customWidth="1"/>
    <col min="7" max="7" width="9" style="3"/>
    <col min="8" max="8" width="27.875" style="3" customWidth="1"/>
    <col min="9" max="16384" width="9" style="3"/>
  </cols>
  <sheetData>
    <row r="1" ht="16.5" spans="1:6">
      <c r="A1" s="6" t="s">
        <v>1380</v>
      </c>
      <c r="B1" s="6"/>
      <c r="C1" s="6"/>
      <c r="D1" s="6"/>
      <c r="E1" s="6"/>
      <c r="F1" s="6"/>
    </row>
    <row r="2" s="1" customFormat="1" ht="36" customHeight="1" spans="1:6">
      <c r="A2" s="7" t="s">
        <v>1381</v>
      </c>
      <c r="B2" s="8"/>
      <c r="C2" s="8"/>
      <c r="D2" s="9"/>
      <c r="E2" s="10"/>
      <c r="F2" s="10"/>
    </row>
    <row r="3" s="1" customFormat="1" ht="21" customHeight="1" spans="1:6">
      <c r="A3" s="11"/>
      <c r="B3" s="12"/>
      <c r="C3" s="12"/>
      <c r="D3" s="13"/>
      <c r="E3" s="14"/>
      <c r="F3" s="11" t="s">
        <v>38</v>
      </c>
    </row>
    <row r="4" s="1" customFormat="1" ht="54.95" customHeight="1" spans="1:6">
      <c r="A4" s="15" t="s">
        <v>630</v>
      </c>
      <c r="B4" s="15" t="s">
        <v>1382</v>
      </c>
      <c r="C4" s="15" t="s">
        <v>1383</v>
      </c>
      <c r="D4" s="15" t="s">
        <v>1384</v>
      </c>
      <c r="E4" s="16" t="s">
        <v>1385</v>
      </c>
      <c r="F4" s="17" t="s">
        <v>1386</v>
      </c>
    </row>
    <row r="5" s="1" customFormat="1" ht="81.95" customHeight="1" spans="1:6">
      <c r="A5" s="18">
        <v>1</v>
      </c>
      <c r="B5" s="19" t="s">
        <v>1387</v>
      </c>
      <c r="C5" s="19" t="s">
        <v>1388</v>
      </c>
      <c r="D5" s="20" t="s">
        <v>1389</v>
      </c>
      <c r="E5" s="21" t="s">
        <v>1390</v>
      </c>
      <c r="F5" s="21">
        <v>40000</v>
      </c>
    </row>
    <row r="6" s="1" customFormat="1" ht="81" customHeight="1" spans="1:6">
      <c r="A6" s="18">
        <v>2</v>
      </c>
      <c r="B6" s="19" t="s">
        <v>1387</v>
      </c>
      <c r="C6" s="19" t="s">
        <v>1391</v>
      </c>
      <c r="D6" s="20" t="s">
        <v>1392</v>
      </c>
      <c r="E6" s="21" t="s">
        <v>1393</v>
      </c>
      <c r="F6" s="22">
        <v>10000</v>
      </c>
    </row>
    <row r="7" s="1" customFormat="1" ht="75" customHeight="1" spans="1:6">
      <c r="A7" s="18">
        <v>3</v>
      </c>
      <c r="B7" s="23" t="s">
        <v>1387</v>
      </c>
      <c r="C7" s="23" t="s">
        <v>1394</v>
      </c>
      <c r="D7" s="20" t="s">
        <v>1395</v>
      </c>
      <c r="E7" s="21" t="s">
        <v>1396</v>
      </c>
      <c r="F7" s="22">
        <v>14000</v>
      </c>
    </row>
    <row r="8" s="1" customFormat="1" ht="90.95" customHeight="1" spans="1:6">
      <c r="A8" s="18">
        <v>4</v>
      </c>
      <c r="B8" s="19" t="s">
        <v>1387</v>
      </c>
      <c r="C8" s="19" t="s">
        <v>1397</v>
      </c>
      <c r="D8" s="20" t="s">
        <v>1398</v>
      </c>
      <c r="E8" s="21" t="s">
        <v>1399</v>
      </c>
      <c r="F8" s="21">
        <v>10000</v>
      </c>
    </row>
    <row r="9" s="1" customFormat="1" ht="78" customHeight="1" spans="1:6">
      <c r="A9" s="18">
        <v>5</v>
      </c>
      <c r="B9" s="19" t="s">
        <v>1387</v>
      </c>
      <c r="C9" s="19" t="s">
        <v>1400</v>
      </c>
      <c r="D9" s="20" t="s">
        <v>1401</v>
      </c>
      <c r="E9" s="21" t="s">
        <v>1402</v>
      </c>
      <c r="F9" s="21">
        <v>13900</v>
      </c>
    </row>
    <row r="10" s="1" customFormat="1" ht="96" customHeight="1" spans="1:6">
      <c r="A10" s="18">
        <v>6</v>
      </c>
      <c r="B10" s="19" t="s">
        <v>1403</v>
      </c>
      <c r="C10" s="19" t="s">
        <v>1404</v>
      </c>
      <c r="D10" s="20" t="s">
        <v>1405</v>
      </c>
      <c r="E10" s="21" t="s">
        <v>1406</v>
      </c>
      <c r="F10" s="21">
        <v>8100</v>
      </c>
    </row>
    <row r="11" s="1" customFormat="1" ht="84" customHeight="1" spans="1:6">
      <c r="A11" s="18">
        <v>7</v>
      </c>
      <c r="B11" s="19" t="s">
        <v>1387</v>
      </c>
      <c r="C11" s="19" t="s">
        <v>1407</v>
      </c>
      <c r="D11" s="20" t="s">
        <v>1408</v>
      </c>
      <c r="E11" s="21" t="s">
        <v>1409</v>
      </c>
      <c r="F11" s="21">
        <v>6500</v>
      </c>
    </row>
    <row r="12" s="1" customFormat="1" ht="72" customHeight="1" spans="1:6">
      <c r="A12" s="18">
        <v>8</v>
      </c>
      <c r="B12" s="21" t="s">
        <v>1410</v>
      </c>
      <c r="C12" s="21" t="s">
        <v>1411</v>
      </c>
      <c r="D12" s="24" t="s">
        <v>1412</v>
      </c>
      <c r="E12" s="21" t="s">
        <v>1413</v>
      </c>
      <c r="F12" s="21">
        <v>20000</v>
      </c>
    </row>
    <row r="13" s="1" customFormat="1" ht="78" customHeight="1" spans="1:6">
      <c r="A13" s="18">
        <v>9</v>
      </c>
      <c r="B13" s="19" t="s">
        <v>1387</v>
      </c>
      <c r="C13" s="19" t="s">
        <v>1414</v>
      </c>
      <c r="D13" s="20" t="s">
        <v>1415</v>
      </c>
      <c r="E13" s="21" t="s">
        <v>1416</v>
      </c>
      <c r="F13" s="21">
        <v>17500</v>
      </c>
    </row>
    <row r="14" s="1" customFormat="1" ht="50.1" customHeight="1" spans="1:6">
      <c r="A14" s="18">
        <v>10</v>
      </c>
      <c r="B14" s="19" t="s">
        <v>1387</v>
      </c>
      <c r="C14" s="19" t="s">
        <v>1417</v>
      </c>
      <c r="D14" s="20" t="s">
        <v>1418</v>
      </c>
      <c r="E14" s="21" t="s">
        <v>1419</v>
      </c>
      <c r="F14" s="21">
        <v>4500</v>
      </c>
    </row>
    <row r="15" s="1" customFormat="1" ht="113.1" customHeight="1" spans="1:6">
      <c r="A15" s="18">
        <v>11</v>
      </c>
      <c r="B15" s="19" t="s">
        <v>1420</v>
      </c>
      <c r="C15" s="19" t="s">
        <v>1421</v>
      </c>
      <c r="D15" s="20" t="s">
        <v>1422</v>
      </c>
      <c r="E15" s="21" t="s">
        <v>1423</v>
      </c>
      <c r="F15" s="21">
        <v>5000</v>
      </c>
    </row>
    <row r="16" s="1" customFormat="1" ht="83.1" customHeight="1" spans="1:6">
      <c r="A16" s="18">
        <v>12</v>
      </c>
      <c r="B16" s="19" t="s">
        <v>1387</v>
      </c>
      <c r="C16" s="19" t="s">
        <v>1424</v>
      </c>
      <c r="D16" s="20" t="s">
        <v>1425</v>
      </c>
      <c r="E16" s="21" t="s">
        <v>1426</v>
      </c>
      <c r="F16" s="21">
        <v>6000</v>
      </c>
    </row>
    <row r="17" s="1" customFormat="1" ht="66.95" customHeight="1" spans="1:6">
      <c r="A17" s="18">
        <v>13</v>
      </c>
      <c r="B17" s="23" t="s">
        <v>1387</v>
      </c>
      <c r="C17" s="23" t="s">
        <v>1427</v>
      </c>
      <c r="D17" s="20" t="s">
        <v>1428</v>
      </c>
      <c r="E17" s="21" t="s">
        <v>1426</v>
      </c>
      <c r="F17" s="22">
        <v>5000</v>
      </c>
    </row>
    <row r="18" s="1" customFormat="1" ht="90" customHeight="1" spans="1:6">
      <c r="A18" s="18">
        <v>14</v>
      </c>
      <c r="B18" s="19" t="s">
        <v>1387</v>
      </c>
      <c r="C18" s="19" t="s">
        <v>1429</v>
      </c>
      <c r="D18" s="20" t="s">
        <v>1430</v>
      </c>
      <c r="E18" s="21" t="s">
        <v>1431</v>
      </c>
      <c r="F18" s="21">
        <v>8000</v>
      </c>
    </row>
    <row r="19" s="1" customFormat="1" ht="107.25" customHeight="1" spans="1:6">
      <c r="A19" s="18">
        <v>15</v>
      </c>
      <c r="B19" s="19" t="s">
        <v>1387</v>
      </c>
      <c r="C19" s="19" t="s">
        <v>1432</v>
      </c>
      <c r="D19" s="20" t="s">
        <v>1433</v>
      </c>
      <c r="E19" s="21" t="s">
        <v>1431</v>
      </c>
      <c r="F19" s="21">
        <v>11000</v>
      </c>
    </row>
    <row r="20" s="1" customFormat="1" ht="60" customHeight="1" spans="1:6">
      <c r="A20" s="18">
        <v>16</v>
      </c>
      <c r="B20" s="19" t="s">
        <v>1387</v>
      </c>
      <c r="C20" s="19" t="s">
        <v>1434</v>
      </c>
      <c r="D20" s="25" t="s">
        <v>1435</v>
      </c>
      <c r="E20" s="21" t="s">
        <v>1431</v>
      </c>
      <c r="F20" s="21">
        <v>7700</v>
      </c>
    </row>
    <row r="21" s="1" customFormat="1" ht="56.1" customHeight="1" spans="1:6">
      <c r="A21" s="18">
        <v>17</v>
      </c>
      <c r="B21" s="19" t="s">
        <v>1387</v>
      </c>
      <c r="C21" s="19" t="s">
        <v>1436</v>
      </c>
      <c r="D21" s="20" t="s">
        <v>1437</v>
      </c>
      <c r="E21" s="26" t="s">
        <v>1438</v>
      </c>
      <c r="F21" s="21">
        <v>7500</v>
      </c>
    </row>
    <row r="22" s="1" customFormat="1" ht="69" customHeight="1" spans="1:6">
      <c r="A22" s="18">
        <v>18</v>
      </c>
      <c r="B22" s="19" t="s">
        <v>1439</v>
      </c>
      <c r="C22" s="19" t="s">
        <v>1440</v>
      </c>
      <c r="D22" s="25" t="s">
        <v>1441</v>
      </c>
      <c r="E22" s="21" t="s">
        <v>1442</v>
      </c>
      <c r="F22" s="21">
        <v>4800</v>
      </c>
    </row>
    <row r="23" s="1" customFormat="1" ht="72" customHeight="1" spans="1:6">
      <c r="A23" s="18">
        <v>19</v>
      </c>
      <c r="B23" s="19" t="s">
        <v>1387</v>
      </c>
      <c r="C23" s="19" t="s">
        <v>1443</v>
      </c>
      <c r="D23" s="20" t="s">
        <v>1444</v>
      </c>
      <c r="E23" s="21" t="s">
        <v>1445</v>
      </c>
      <c r="F23" s="21">
        <v>8000</v>
      </c>
    </row>
    <row r="24" s="1" customFormat="1" ht="107.1" customHeight="1" spans="1:6">
      <c r="A24" s="18">
        <v>20</v>
      </c>
      <c r="B24" s="19" t="s">
        <v>1387</v>
      </c>
      <c r="C24" s="19" t="s">
        <v>1446</v>
      </c>
      <c r="D24" s="20" t="s">
        <v>1447</v>
      </c>
      <c r="E24" s="21" t="s">
        <v>1448</v>
      </c>
      <c r="F24" s="22">
        <v>10000</v>
      </c>
    </row>
    <row r="25" s="1" customFormat="1" ht="90.95" customHeight="1" spans="1:6">
      <c r="A25" s="18">
        <v>21</v>
      </c>
      <c r="B25" s="19" t="s">
        <v>1387</v>
      </c>
      <c r="C25" s="19" t="s">
        <v>1449</v>
      </c>
      <c r="D25" s="20" t="s">
        <v>1450</v>
      </c>
      <c r="E25" s="21" t="s">
        <v>1451</v>
      </c>
      <c r="F25" s="21">
        <v>5000</v>
      </c>
    </row>
    <row r="26" s="1" customFormat="1" ht="78" customHeight="1" spans="1:6">
      <c r="A26" s="18">
        <v>22</v>
      </c>
      <c r="B26" s="19" t="s">
        <v>1387</v>
      </c>
      <c r="C26" s="19" t="s">
        <v>1452</v>
      </c>
      <c r="D26" s="20" t="s">
        <v>1453</v>
      </c>
      <c r="E26" s="21" t="s">
        <v>1431</v>
      </c>
      <c r="F26" s="21">
        <v>5000</v>
      </c>
    </row>
    <row r="27" s="1" customFormat="1" ht="84" customHeight="1" spans="1:6">
      <c r="A27" s="18">
        <v>23</v>
      </c>
      <c r="B27" s="19" t="s">
        <v>1387</v>
      </c>
      <c r="C27" s="19" t="s">
        <v>1454</v>
      </c>
      <c r="D27" s="20" t="s">
        <v>1455</v>
      </c>
      <c r="E27" s="21" t="s">
        <v>1456</v>
      </c>
      <c r="F27" s="21">
        <v>1800</v>
      </c>
    </row>
    <row r="28" s="1" customFormat="1" ht="92.1" customHeight="1" spans="1:6">
      <c r="A28" s="18">
        <v>24</v>
      </c>
      <c r="B28" s="21" t="s">
        <v>1387</v>
      </c>
      <c r="C28" s="21" t="s">
        <v>1457</v>
      </c>
      <c r="D28" s="24" t="s">
        <v>1458</v>
      </c>
      <c r="E28" s="21" t="s">
        <v>1459</v>
      </c>
      <c r="F28" s="21">
        <v>11000</v>
      </c>
    </row>
    <row r="29" s="1" customFormat="1" ht="81.95" customHeight="1" spans="1:6">
      <c r="A29" s="18">
        <v>25</v>
      </c>
      <c r="B29" s="19" t="s">
        <v>1387</v>
      </c>
      <c r="C29" s="19" t="s">
        <v>1460</v>
      </c>
      <c r="D29" s="20" t="s">
        <v>1461</v>
      </c>
      <c r="E29" s="21" t="s">
        <v>1462</v>
      </c>
      <c r="F29" s="22">
        <v>8000</v>
      </c>
    </row>
    <row r="30" s="1" customFormat="1" ht="105" customHeight="1" spans="1:6">
      <c r="A30" s="18">
        <v>26</v>
      </c>
      <c r="B30" s="19" t="s">
        <v>1463</v>
      </c>
      <c r="C30" s="19" t="s">
        <v>1464</v>
      </c>
      <c r="D30" s="20" t="s">
        <v>1465</v>
      </c>
      <c r="E30" s="21" t="s">
        <v>1466</v>
      </c>
      <c r="F30" s="21">
        <v>30000</v>
      </c>
    </row>
    <row r="31" s="1" customFormat="1" ht="78" customHeight="1" spans="1:6">
      <c r="A31" s="18">
        <v>27</v>
      </c>
      <c r="B31" s="19" t="s">
        <v>1387</v>
      </c>
      <c r="C31" s="19" t="s">
        <v>1467</v>
      </c>
      <c r="D31" s="20" t="s">
        <v>1468</v>
      </c>
      <c r="E31" s="21" t="s">
        <v>1469</v>
      </c>
      <c r="F31" s="21">
        <v>7500</v>
      </c>
    </row>
    <row r="32" s="1" customFormat="1" ht="77.1" customHeight="1" spans="1:6">
      <c r="A32" s="18">
        <v>28</v>
      </c>
      <c r="B32" s="19" t="s">
        <v>1387</v>
      </c>
      <c r="C32" s="19" t="s">
        <v>1470</v>
      </c>
      <c r="D32" s="20" t="s">
        <v>1471</v>
      </c>
      <c r="E32" s="21" t="s">
        <v>1472</v>
      </c>
      <c r="F32" s="22">
        <v>10000</v>
      </c>
    </row>
    <row r="33" s="1" customFormat="1" ht="88.5" customHeight="1" spans="1:6">
      <c r="A33" s="18">
        <v>29</v>
      </c>
      <c r="B33" s="19" t="s">
        <v>1463</v>
      </c>
      <c r="C33" s="19" t="s">
        <v>1473</v>
      </c>
      <c r="D33" s="20" t="s">
        <v>1474</v>
      </c>
      <c r="E33" s="21" t="s">
        <v>1475</v>
      </c>
      <c r="F33" s="21">
        <v>12000</v>
      </c>
    </row>
    <row r="34" s="1" customFormat="1" ht="92.1" customHeight="1" spans="1:6">
      <c r="A34" s="18">
        <v>30</v>
      </c>
      <c r="B34" s="19" t="s">
        <v>1476</v>
      </c>
      <c r="C34" s="19" t="s">
        <v>1477</v>
      </c>
      <c r="D34" s="20" t="s">
        <v>1478</v>
      </c>
      <c r="E34" s="21" t="s">
        <v>1479</v>
      </c>
      <c r="F34" s="21">
        <v>5000</v>
      </c>
    </row>
    <row r="35" s="1" customFormat="1" ht="75.95" customHeight="1" spans="1:6">
      <c r="A35" s="18">
        <v>31</v>
      </c>
      <c r="B35" s="23" t="s">
        <v>1410</v>
      </c>
      <c r="C35" s="23" t="s">
        <v>1480</v>
      </c>
      <c r="D35" s="27" t="s">
        <v>1481</v>
      </c>
      <c r="E35" s="21" t="s">
        <v>1482</v>
      </c>
      <c r="F35" s="23">
        <v>10000</v>
      </c>
    </row>
    <row r="36" s="1" customFormat="1" ht="72" customHeight="1" spans="1:6">
      <c r="A36" s="18">
        <v>32</v>
      </c>
      <c r="B36" s="19" t="s">
        <v>1483</v>
      </c>
      <c r="C36" s="19" t="s">
        <v>1484</v>
      </c>
      <c r="D36" s="20" t="s">
        <v>1485</v>
      </c>
      <c r="E36" s="21" t="s">
        <v>1486</v>
      </c>
      <c r="F36" s="22">
        <v>1000</v>
      </c>
    </row>
    <row r="37" s="1" customFormat="1" ht="84.95" customHeight="1" spans="1:6">
      <c r="A37" s="18">
        <v>33</v>
      </c>
      <c r="B37" s="19" t="s">
        <v>1487</v>
      </c>
      <c r="C37" s="19" t="s">
        <v>1488</v>
      </c>
      <c r="D37" s="20" t="s">
        <v>1489</v>
      </c>
      <c r="E37" s="21" t="s">
        <v>1490</v>
      </c>
      <c r="F37" s="22">
        <v>8000</v>
      </c>
    </row>
    <row r="38" s="1" customFormat="1" ht="93.95" customHeight="1" spans="1:6">
      <c r="A38" s="18">
        <v>34</v>
      </c>
      <c r="B38" s="19" t="s">
        <v>1491</v>
      </c>
      <c r="C38" s="19" t="s">
        <v>1492</v>
      </c>
      <c r="D38" s="20" t="s">
        <v>1493</v>
      </c>
      <c r="E38" s="21" t="s">
        <v>1409</v>
      </c>
      <c r="F38" s="21">
        <v>20000</v>
      </c>
    </row>
    <row r="39" s="1" customFormat="1" ht="81.95" customHeight="1" spans="1:6">
      <c r="A39" s="18">
        <v>35</v>
      </c>
      <c r="B39" s="19" t="s">
        <v>1491</v>
      </c>
      <c r="C39" s="19" t="s">
        <v>1494</v>
      </c>
      <c r="D39" s="20" t="s">
        <v>1495</v>
      </c>
      <c r="E39" s="21" t="s">
        <v>1496</v>
      </c>
      <c r="F39" s="21">
        <v>3100</v>
      </c>
    </row>
    <row r="40" s="1" customFormat="1" ht="66" customHeight="1" spans="1:6">
      <c r="A40" s="18">
        <v>36</v>
      </c>
      <c r="B40" s="19" t="s">
        <v>1497</v>
      </c>
      <c r="C40" s="19" t="s">
        <v>1498</v>
      </c>
      <c r="D40" s="20" t="s">
        <v>1499</v>
      </c>
      <c r="E40" s="21" t="s">
        <v>1396</v>
      </c>
      <c r="F40" s="21">
        <v>2000</v>
      </c>
    </row>
    <row r="41" s="1" customFormat="1" ht="135" customHeight="1" spans="1:6">
      <c r="A41" s="18">
        <v>37</v>
      </c>
      <c r="B41" s="19" t="s">
        <v>1500</v>
      </c>
      <c r="C41" s="19" t="s">
        <v>1501</v>
      </c>
      <c r="D41" s="20" t="s">
        <v>1502</v>
      </c>
      <c r="E41" s="21" t="s">
        <v>1503</v>
      </c>
      <c r="F41" s="21">
        <v>2000</v>
      </c>
    </row>
    <row r="42" s="1" customFormat="1" ht="78" customHeight="1" spans="1:6">
      <c r="A42" s="18">
        <v>38</v>
      </c>
      <c r="B42" s="19" t="s">
        <v>1387</v>
      </c>
      <c r="C42" s="19" t="s">
        <v>1504</v>
      </c>
      <c r="D42" s="20" t="s">
        <v>1505</v>
      </c>
      <c r="E42" s="21" t="s">
        <v>1506</v>
      </c>
      <c r="F42" s="21">
        <v>5000</v>
      </c>
    </row>
    <row r="43" s="1" customFormat="1" ht="96" customHeight="1" spans="1:6">
      <c r="A43" s="18">
        <v>39</v>
      </c>
      <c r="B43" s="19" t="s">
        <v>1476</v>
      </c>
      <c r="C43" s="19" t="s">
        <v>1507</v>
      </c>
      <c r="D43" s="20" t="s">
        <v>1508</v>
      </c>
      <c r="E43" s="21" t="s">
        <v>1509</v>
      </c>
      <c r="F43" s="21">
        <v>12000</v>
      </c>
    </row>
    <row r="44" s="1" customFormat="1" ht="87" customHeight="1" spans="1:6">
      <c r="A44" s="18">
        <v>40</v>
      </c>
      <c r="B44" s="23" t="s">
        <v>1510</v>
      </c>
      <c r="C44" s="23" t="s">
        <v>1511</v>
      </c>
      <c r="D44" s="27" t="s">
        <v>1512</v>
      </c>
      <c r="E44" s="21" t="s">
        <v>1513</v>
      </c>
      <c r="F44" s="23">
        <v>10000</v>
      </c>
    </row>
    <row r="45" s="1" customFormat="1" ht="78" customHeight="1" spans="1:6">
      <c r="A45" s="18">
        <v>41</v>
      </c>
      <c r="B45" s="19" t="s">
        <v>1514</v>
      </c>
      <c r="C45" s="19" t="s">
        <v>1515</v>
      </c>
      <c r="D45" s="20" t="s">
        <v>1516</v>
      </c>
      <c r="E45" s="21" t="s">
        <v>1517</v>
      </c>
      <c r="F45" s="21">
        <v>25000</v>
      </c>
    </row>
    <row r="46" s="1" customFormat="1" ht="81.95" customHeight="1" spans="1:6">
      <c r="A46" s="18">
        <v>42</v>
      </c>
      <c r="B46" s="23" t="s">
        <v>1387</v>
      </c>
      <c r="C46" s="23" t="s">
        <v>1518</v>
      </c>
      <c r="D46" s="27" t="s">
        <v>1519</v>
      </c>
      <c r="E46" s="21" t="s">
        <v>1520</v>
      </c>
      <c r="F46" s="23">
        <v>1200</v>
      </c>
    </row>
    <row r="47" s="1" customFormat="1" ht="111" customHeight="1" spans="1:6">
      <c r="A47" s="18">
        <v>43</v>
      </c>
      <c r="B47" s="19" t="s">
        <v>1521</v>
      </c>
      <c r="C47" s="19" t="s">
        <v>1522</v>
      </c>
      <c r="D47" s="20" t="s">
        <v>1523</v>
      </c>
      <c r="E47" s="21" t="s">
        <v>1524</v>
      </c>
      <c r="F47" s="21">
        <v>31800</v>
      </c>
    </row>
    <row r="48" s="1" customFormat="1" ht="81.95" customHeight="1" spans="1:6">
      <c r="A48" s="18">
        <v>44</v>
      </c>
      <c r="B48" s="21" t="s">
        <v>1525</v>
      </c>
      <c r="C48" s="21" t="s">
        <v>1526</v>
      </c>
      <c r="D48" s="24" t="s">
        <v>1527</v>
      </c>
      <c r="E48" s="21" t="s">
        <v>1528</v>
      </c>
      <c r="F48" s="21">
        <v>173207.04</v>
      </c>
    </row>
    <row r="49" s="1" customFormat="1" ht="93.95" customHeight="1" spans="1:6">
      <c r="A49" s="18">
        <v>45</v>
      </c>
      <c r="B49" s="21" t="s">
        <v>1529</v>
      </c>
      <c r="C49" s="21" t="s">
        <v>1530</v>
      </c>
      <c r="D49" s="24" t="s">
        <v>1531</v>
      </c>
      <c r="E49" s="21" t="s">
        <v>1532</v>
      </c>
      <c r="F49" s="21">
        <v>387720</v>
      </c>
    </row>
    <row r="50" s="1" customFormat="1" ht="63.95" customHeight="1" spans="1:6">
      <c r="A50" s="18">
        <v>46</v>
      </c>
      <c r="B50" s="21" t="s">
        <v>1533</v>
      </c>
      <c r="C50" s="21" t="s">
        <v>1534</v>
      </c>
      <c r="D50" s="24" t="s">
        <v>1535</v>
      </c>
      <c r="E50" s="21" t="s">
        <v>1536</v>
      </c>
      <c r="F50" s="21">
        <v>261000</v>
      </c>
    </row>
    <row r="51" s="1" customFormat="1" ht="74.1" customHeight="1" spans="1:6">
      <c r="A51" s="18">
        <v>47</v>
      </c>
      <c r="B51" s="21" t="s">
        <v>1537</v>
      </c>
      <c r="C51" s="21" t="s">
        <v>1538</v>
      </c>
      <c r="D51" s="24" t="s">
        <v>1539</v>
      </c>
      <c r="E51" s="21" t="s">
        <v>1540</v>
      </c>
      <c r="F51" s="21">
        <v>45000</v>
      </c>
    </row>
    <row r="52" s="1" customFormat="1" ht="114" customHeight="1" spans="1:6">
      <c r="A52" s="18">
        <v>48</v>
      </c>
      <c r="B52" s="19" t="s">
        <v>1541</v>
      </c>
      <c r="C52" s="19" t="s">
        <v>1542</v>
      </c>
      <c r="D52" s="20" t="s">
        <v>1543</v>
      </c>
      <c r="E52" s="21" t="s">
        <v>1544</v>
      </c>
      <c r="F52" s="21">
        <v>40800</v>
      </c>
    </row>
    <row r="53" s="1" customFormat="1" ht="77.1" customHeight="1" spans="1:6">
      <c r="A53" s="18">
        <v>49</v>
      </c>
      <c r="B53" s="19" t="s">
        <v>1545</v>
      </c>
      <c r="C53" s="19" t="s">
        <v>1546</v>
      </c>
      <c r="D53" s="20" t="s">
        <v>1547</v>
      </c>
      <c r="E53" s="21" t="s">
        <v>1548</v>
      </c>
      <c r="F53" s="21">
        <v>11000</v>
      </c>
    </row>
    <row r="54" s="1" customFormat="1" ht="102" customHeight="1" spans="1:6">
      <c r="A54" s="18">
        <v>50</v>
      </c>
      <c r="B54" s="23" t="s">
        <v>1549</v>
      </c>
      <c r="C54" s="23" t="s">
        <v>1550</v>
      </c>
      <c r="D54" s="20" t="s">
        <v>1551</v>
      </c>
      <c r="E54" s="19" t="s">
        <v>1552</v>
      </c>
      <c r="F54" s="19">
        <v>50000</v>
      </c>
    </row>
    <row r="55" s="1" customFormat="1" ht="78.95" customHeight="1" spans="1:6">
      <c r="A55" s="18">
        <v>51</v>
      </c>
      <c r="B55" s="21" t="s">
        <v>1545</v>
      </c>
      <c r="C55" s="21" t="s">
        <v>1553</v>
      </c>
      <c r="D55" s="24" t="s">
        <v>1554</v>
      </c>
      <c r="E55" s="21" t="s">
        <v>1402</v>
      </c>
      <c r="F55" s="21">
        <v>10000</v>
      </c>
    </row>
    <row r="56" s="1" customFormat="1" ht="120" customHeight="1" spans="1:6">
      <c r="A56" s="18">
        <v>52</v>
      </c>
      <c r="B56" s="23" t="s">
        <v>1387</v>
      </c>
      <c r="C56" s="23" t="s">
        <v>1555</v>
      </c>
      <c r="D56" s="20" t="s">
        <v>1556</v>
      </c>
      <c r="E56" s="21" t="s">
        <v>1557</v>
      </c>
      <c r="F56" s="21">
        <v>5000</v>
      </c>
    </row>
    <row r="57" s="1" customFormat="1" ht="126" customHeight="1" spans="1:6">
      <c r="A57" s="18">
        <v>53</v>
      </c>
      <c r="B57" s="23" t="s">
        <v>1387</v>
      </c>
      <c r="C57" s="23" t="s">
        <v>1558</v>
      </c>
      <c r="D57" s="20" t="s">
        <v>1559</v>
      </c>
      <c r="E57" s="21" t="s">
        <v>1431</v>
      </c>
      <c r="F57" s="21">
        <v>2500</v>
      </c>
    </row>
    <row r="58" s="1" customFormat="1" ht="69.95" customHeight="1" spans="1:6">
      <c r="A58" s="18">
        <v>54</v>
      </c>
      <c r="B58" s="19" t="s">
        <v>1560</v>
      </c>
      <c r="C58" s="19" t="s">
        <v>1561</v>
      </c>
      <c r="D58" s="20" t="s">
        <v>1562</v>
      </c>
      <c r="E58" s="21" t="s">
        <v>1520</v>
      </c>
      <c r="F58" s="21">
        <v>10000</v>
      </c>
    </row>
    <row r="59" s="1" customFormat="1" ht="93.95" customHeight="1" spans="1:6">
      <c r="A59" s="18">
        <v>55</v>
      </c>
      <c r="B59" s="23" t="s">
        <v>1387</v>
      </c>
      <c r="C59" s="23" t="s">
        <v>1563</v>
      </c>
      <c r="D59" s="20" t="s">
        <v>1564</v>
      </c>
      <c r="E59" s="21" t="s">
        <v>1565</v>
      </c>
      <c r="F59" s="21">
        <v>5000</v>
      </c>
    </row>
    <row r="60" s="1" customFormat="1" ht="78.95" customHeight="1" spans="1:6">
      <c r="A60" s="18">
        <v>56</v>
      </c>
      <c r="B60" s="23" t="s">
        <v>1387</v>
      </c>
      <c r="C60" s="23" t="s">
        <v>1566</v>
      </c>
      <c r="D60" s="20" t="s">
        <v>1567</v>
      </c>
      <c r="E60" s="21" t="s">
        <v>1396</v>
      </c>
      <c r="F60" s="21">
        <v>1000</v>
      </c>
    </row>
    <row r="61" s="1" customFormat="1" ht="81" customHeight="1" spans="1:6">
      <c r="A61" s="18">
        <v>57</v>
      </c>
      <c r="B61" s="23" t="s">
        <v>1387</v>
      </c>
      <c r="C61" s="23" t="s">
        <v>1568</v>
      </c>
      <c r="D61" s="20" t="s">
        <v>1569</v>
      </c>
      <c r="E61" s="21" t="s">
        <v>1402</v>
      </c>
      <c r="F61" s="21">
        <v>8000</v>
      </c>
    </row>
    <row r="62" s="1" customFormat="1" ht="86.1" customHeight="1" spans="1:6">
      <c r="A62" s="18">
        <v>58</v>
      </c>
      <c r="B62" s="23" t="s">
        <v>1387</v>
      </c>
      <c r="C62" s="23" t="s">
        <v>1570</v>
      </c>
      <c r="D62" s="20" t="s">
        <v>1571</v>
      </c>
      <c r="E62" s="21" t="s">
        <v>1402</v>
      </c>
      <c r="F62" s="21">
        <v>11600</v>
      </c>
    </row>
    <row r="63" s="1" customFormat="1" ht="69" customHeight="1" spans="1:6">
      <c r="A63" s="18">
        <v>59</v>
      </c>
      <c r="B63" s="19" t="s">
        <v>1529</v>
      </c>
      <c r="C63" s="19" t="s">
        <v>1572</v>
      </c>
      <c r="D63" s="20" t="s">
        <v>1573</v>
      </c>
      <c r="E63" s="21" t="s">
        <v>1574</v>
      </c>
      <c r="F63" s="21">
        <v>7600</v>
      </c>
    </row>
    <row r="64" s="1" customFormat="1" ht="74.1" customHeight="1" spans="1:6">
      <c r="A64" s="18">
        <v>60</v>
      </c>
      <c r="B64" s="19" t="s">
        <v>1529</v>
      </c>
      <c r="C64" s="19" t="s">
        <v>1575</v>
      </c>
      <c r="D64" s="20" t="s">
        <v>1576</v>
      </c>
      <c r="E64" s="21" t="s">
        <v>1328</v>
      </c>
      <c r="F64" s="21">
        <v>5492</v>
      </c>
    </row>
    <row r="65" s="1" customFormat="1" ht="102.95" customHeight="1" spans="1:6">
      <c r="A65" s="18">
        <v>61</v>
      </c>
      <c r="B65" s="23" t="s">
        <v>1529</v>
      </c>
      <c r="C65" s="23" t="s">
        <v>1577</v>
      </c>
      <c r="D65" s="20" t="s">
        <v>1578</v>
      </c>
      <c r="E65" s="21" t="s">
        <v>1579</v>
      </c>
      <c r="F65" s="23">
        <v>76000</v>
      </c>
    </row>
    <row r="66" s="1" customFormat="1" ht="155.1" customHeight="1" spans="1:6">
      <c r="A66" s="18">
        <v>62</v>
      </c>
      <c r="B66" s="23" t="s">
        <v>1387</v>
      </c>
      <c r="C66" s="23" t="s">
        <v>1580</v>
      </c>
      <c r="D66" s="20" t="s">
        <v>1581</v>
      </c>
      <c r="E66" s="21" t="s">
        <v>1582</v>
      </c>
      <c r="F66" s="21">
        <v>3200</v>
      </c>
    </row>
    <row r="67" s="1" customFormat="1" ht="81.95" customHeight="1" spans="1:6">
      <c r="A67" s="18">
        <v>63</v>
      </c>
      <c r="B67" s="19" t="s">
        <v>1387</v>
      </c>
      <c r="C67" s="19" t="s">
        <v>1583</v>
      </c>
      <c r="D67" s="20" t="s">
        <v>1584</v>
      </c>
      <c r="E67" s="21" t="s">
        <v>1431</v>
      </c>
      <c r="F67" s="21">
        <v>800</v>
      </c>
    </row>
    <row r="68" s="1" customFormat="1" ht="74.1" customHeight="1" spans="1:6">
      <c r="A68" s="18">
        <v>64</v>
      </c>
      <c r="B68" s="21" t="s">
        <v>1585</v>
      </c>
      <c r="C68" s="21" t="s">
        <v>1586</v>
      </c>
      <c r="D68" s="24" t="s">
        <v>1587</v>
      </c>
      <c r="E68" s="21" t="s">
        <v>1588</v>
      </c>
      <c r="F68" s="21">
        <v>2000</v>
      </c>
    </row>
    <row r="69" s="1" customFormat="1" ht="210.95" customHeight="1" spans="1:6">
      <c r="A69" s="18">
        <v>65</v>
      </c>
      <c r="B69" s="23" t="s">
        <v>1545</v>
      </c>
      <c r="C69" s="23" t="s">
        <v>1589</v>
      </c>
      <c r="D69" s="20" t="s">
        <v>1590</v>
      </c>
      <c r="E69" s="21" t="s">
        <v>1591</v>
      </c>
      <c r="F69" s="21">
        <v>5000</v>
      </c>
    </row>
    <row r="70" s="1" customFormat="1" ht="83.1" customHeight="1" spans="1:6">
      <c r="A70" s="18">
        <v>66</v>
      </c>
      <c r="B70" s="23" t="s">
        <v>1592</v>
      </c>
      <c r="C70" s="23" t="s">
        <v>1593</v>
      </c>
      <c r="D70" s="27" t="s">
        <v>1594</v>
      </c>
      <c r="E70" s="21" t="s">
        <v>1595</v>
      </c>
      <c r="F70" s="23">
        <v>8000</v>
      </c>
    </row>
    <row r="71" s="1" customFormat="1" ht="60.95" customHeight="1" spans="1:6">
      <c r="A71" s="18">
        <v>67</v>
      </c>
      <c r="B71" s="23" t="s">
        <v>1596</v>
      </c>
      <c r="C71" s="23" t="s">
        <v>1597</v>
      </c>
      <c r="D71" s="20" t="s">
        <v>1598</v>
      </c>
      <c r="E71" s="21" t="s">
        <v>1431</v>
      </c>
      <c r="F71" s="21">
        <v>3190</v>
      </c>
    </row>
    <row r="72" s="1" customFormat="1" ht="117" customHeight="1" spans="1:6">
      <c r="A72" s="18">
        <v>68</v>
      </c>
      <c r="B72" s="19" t="s">
        <v>1387</v>
      </c>
      <c r="C72" s="19" t="s">
        <v>1599</v>
      </c>
      <c r="D72" s="20" t="s">
        <v>1600</v>
      </c>
      <c r="E72" s="21" t="s">
        <v>1601</v>
      </c>
      <c r="F72" s="21">
        <v>3000</v>
      </c>
    </row>
    <row r="73" s="1" customFormat="1" ht="126" customHeight="1" spans="1:6">
      <c r="A73" s="18">
        <v>69</v>
      </c>
      <c r="B73" s="19" t="s">
        <v>1602</v>
      </c>
      <c r="C73" s="19" t="s">
        <v>1603</v>
      </c>
      <c r="D73" s="20" t="s">
        <v>1604</v>
      </c>
      <c r="E73" s="21" t="s">
        <v>1605</v>
      </c>
      <c r="F73" s="21">
        <v>38000</v>
      </c>
    </row>
    <row r="74" s="1" customFormat="1" ht="147" customHeight="1" spans="1:6">
      <c r="A74" s="18">
        <v>70</v>
      </c>
      <c r="B74" s="19" t="s">
        <v>1606</v>
      </c>
      <c r="C74" s="19" t="s">
        <v>1607</v>
      </c>
      <c r="D74" s="20" t="s">
        <v>1608</v>
      </c>
      <c r="E74" s="21" t="s">
        <v>1524</v>
      </c>
      <c r="F74" s="21">
        <v>200000</v>
      </c>
    </row>
    <row r="75" s="1" customFormat="1" ht="126" customHeight="1" spans="1:6">
      <c r="A75" s="18">
        <v>71</v>
      </c>
      <c r="B75" s="19" t="s">
        <v>1606</v>
      </c>
      <c r="C75" s="19" t="s">
        <v>1609</v>
      </c>
      <c r="D75" s="20" t="s">
        <v>1610</v>
      </c>
      <c r="E75" s="21" t="s">
        <v>1524</v>
      </c>
      <c r="F75" s="21">
        <v>200000</v>
      </c>
    </row>
    <row r="76" s="1" customFormat="1" ht="98.1" customHeight="1" spans="1:6">
      <c r="A76" s="18">
        <v>72</v>
      </c>
      <c r="B76" s="19" t="s">
        <v>1483</v>
      </c>
      <c r="C76" s="19" t="s">
        <v>1611</v>
      </c>
      <c r="D76" s="20" t="s">
        <v>1612</v>
      </c>
      <c r="E76" s="21" t="s">
        <v>1613</v>
      </c>
      <c r="F76" s="21">
        <v>5000</v>
      </c>
    </row>
    <row r="77" s="1" customFormat="1" ht="84" customHeight="1" spans="1:6">
      <c r="A77" s="18">
        <v>73</v>
      </c>
      <c r="B77" s="23" t="s">
        <v>1529</v>
      </c>
      <c r="C77" s="23" t="s">
        <v>1614</v>
      </c>
      <c r="D77" s="27" t="s">
        <v>1615</v>
      </c>
      <c r="E77" s="21" t="s">
        <v>1616</v>
      </c>
      <c r="F77" s="23">
        <v>12000</v>
      </c>
    </row>
    <row r="78" s="1" customFormat="1" ht="72.95" customHeight="1" spans="1:6">
      <c r="A78" s="18">
        <v>74</v>
      </c>
      <c r="B78" s="23" t="s">
        <v>1529</v>
      </c>
      <c r="C78" s="23" t="s">
        <v>1617</v>
      </c>
      <c r="D78" s="27" t="s">
        <v>1618</v>
      </c>
      <c r="E78" s="21" t="s">
        <v>1619</v>
      </c>
      <c r="F78" s="23">
        <v>12000</v>
      </c>
    </row>
    <row r="79" s="1" customFormat="1" ht="62.1" customHeight="1" spans="1:6">
      <c r="A79" s="18">
        <v>75</v>
      </c>
      <c r="B79" s="23" t="s">
        <v>1463</v>
      </c>
      <c r="C79" s="23" t="s">
        <v>1620</v>
      </c>
      <c r="D79" s="20" t="s">
        <v>1621</v>
      </c>
      <c r="E79" s="21" t="s">
        <v>1622</v>
      </c>
      <c r="F79" s="21">
        <v>4000</v>
      </c>
    </row>
    <row r="80" s="1" customFormat="1" ht="104.1" customHeight="1" spans="1:6">
      <c r="A80" s="18">
        <v>76</v>
      </c>
      <c r="B80" s="28" t="s">
        <v>1606</v>
      </c>
      <c r="C80" s="19" t="s">
        <v>1623</v>
      </c>
      <c r="D80" s="20" t="s">
        <v>1624</v>
      </c>
      <c r="E80" s="21" t="s">
        <v>1396</v>
      </c>
      <c r="F80" s="21">
        <v>1000</v>
      </c>
    </row>
    <row r="81" s="1" customFormat="1" ht="131.1" customHeight="1" spans="1:6">
      <c r="A81" s="18">
        <v>77</v>
      </c>
      <c r="B81" s="19" t="s">
        <v>1625</v>
      </c>
      <c r="C81" s="19" t="s">
        <v>1626</v>
      </c>
      <c r="D81" s="20" t="s">
        <v>1627</v>
      </c>
      <c r="E81" s="21" t="s">
        <v>1402</v>
      </c>
      <c r="F81" s="21">
        <v>31500</v>
      </c>
    </row>
    <row r="82" s="1" customFormat="1" ht="59.1" customHeight="1" spans="1:6">
      <c r="A82" s="18">
        <v>78</v>
      </c>
      <c r="B82" s="19" t="s">
        <v>1628</v>
      </c>
      <c r="C82" s="19" t="s">
        <v>1629</v>
      </c>
      <c r="D82" s="20" t="s">
        <v>1630</v>
      </c>
      <c r="E82" s="21" t="s">
        <v>1631</v>
      </c>
      <c r="F82" s="21">
        <v>1500</v>
      </c>
    </row>
  </sheetData>
  <mergeCells count="2">
    <mergeCell ref="A1:F1"/>
    <mergeCell ref="A2:F2"/>
  </mergeCells>
  <printOptions horizontalCentered="1"/>
  <pageMargins left="0.59" right="0.59" top="0.79" bottom="0.79" header="0.16" footer="0.51"/>
  <pageSetup paperSize="9" scale="7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zoomScale="85" zoomScaleNormal="85" topLeftCell="B1" workbookViewId="0">
      <selection activeCell="F11" sqref="F11"/>
    </sheetView>
  </sheetViews>
  <sheetFormatPr defaultColWidth="9" defaultRowHeight="14.25" outlineLevelCol="7"/>
  <cols>
    <col min="1" max="1" width="14.375" style="239" hidden="1" customWidth="1"/>
    <col min="2" max="2" width="30.25" style="240" customWidth="1"/>
    <col min="3" max="3" width="16.5" style="457" customWidth="1"/>
    <col min="4" max="4" width="18.5" style="458" customWidth="1"/>
    <col min="5" max="5" width="18.5" style="459" hidden="1" customWidth="1"/>
    <col min="6" max="6" width="17.5" style="460" customWidth="1"/>
    <col min="7" max="7" width="21.375" style="240" customWidth="1"/>
    <col min="8" max="8" width="0.875" style="240" hidden="1" customWidth="1"/>
    <col min="9" max="247" width="9" style="239"/>
  </cols>
  <sheetData>
    <row r="1" s="241" customFormat="1" ht="17.25" spans="1:8">
      <c r="A1" s="245"/>
      <c r="B1" s="246" t="s">
        <v>566</v>
      </c>
      <c r="C1" s="461"/>
      <c r="D1" s="462"/>
      <c r="E1" s="463"/>
      <c r="F1" s="460"/>
      <c r="G1" s="240"/>
      <c r="H1" s="240"/>
    </row>
    <row r="2" s="240" customFormat="1" ht="51" customHeight="1" spans="1:8">
      <c r="A2" s="247" t="s">
        <v>567</v>
      </c>
      <c r="B2" s="248"/>
      <c r="C2" s="464"/>
      <c r="D2" s="465"/>
      <c r="E2" s="466"/>
      <c r="F2" s="247"/>
      <c r="G2" s="248"/>
      <c r="H2" s="248"/>
    </row>
    <row r="3" s="240" customFormat="1" ht="17.25" spans="1:8">
      <c r="A3" s="239"/>
      <c r="C3" s="457"/>
      <c r="D3" s="458"/>
      <c r="E3" s="459"/>
      <c r="F3" s="460"/>
      <c r="G3" s="257" t="s">
        <v>38</v>
      </c>
      <c r="H3" s="257" t="s">
        <v>38</v>
      </c>
    </row>
    <row r="4" s="240" customFormat="1" ht="34.5" customHeight="1" spans="1:8">
      <c r="A4" s="258" t="s">
        <v>39</v>
      </c>
      <c r="B4" s="259" t="s">
        <v>568</v>
      </c>
      <c r="C4" s="467" t="s">
        <v>4</v>
      </c>
      <c r="D4" s="467" t="s">
        <v>5</v>
      </c>
      <c r="E4" s="467"/>
      <c r="F4" s="260" t="s">
        <v>6</v>
      </c>
      <c r="G4" s="264" t="s">
        <v>7</v>
      </c>
      <c r="H4" s="264" t="s">
        <v>569</v>
      </c>
    </row>
    <row r="5" s="240" customFormat="1" ht="27.6" customHeight="1" spans="1:8">
      <c r="A5" s="265"/>
      <c r="B5" s="266" t="s">
        <v>570</v>
      </c>
      <c r="C5" s="468">
        <v>3658648</v>
      </c>
      <c r="D5" s="469">
        <v>3608744.09</v>
      </c>
      <c r="E5" s="469"/>
      <c r="F5" s="470">
        <f>F6+F11+F22+F30+F37+F41+F44+F47+F50+F56+F58+F60+F63</f>
        <v>3569107.473359</v>
      </c>
      <c r="G5" s="272">
        <f>F5/D5-1</f>
        <v>-0.0109834933296685</v>
      </c>
      <c r="H5" s="273"/>
    </row>
    <row r="6" s="240" customFormat="1" ht="27.6" customHeight="1" spans="1:8">
      <c r="A6" s="265">
        <v>501</v>
      </c>
      <c r="B6" s="274" t="s">
        <v>571</v>
      </c>
      <c r="C6" s="468">
        <v>443701</v>
      </c>
      <c r="D6" s="469">
        <v>443701</v>
      </c>
      <c r="E6" s="471">
        <v>405136</v>
      </c>
      <c r="F6" s="472">
        <f>SUM(F7:F10)</f>
        <v>431175.811104</v>
      </c>
      <c r="G6" s="272">
        <f t="shared" ref="G6:G30" si="0">F6/D6-1</f>
        <v>-0.0282288948999433</v>
      </c>
      <c r="H6" s="273"/>
    </row>
    <row r="7" s="240" customFormat="1" ht="27.6" customHeight="1" spans="1:8">
      <c r="A7" s="276">
        <v>50101</v>
      </c>
      <c r="B7" s="277" t="s">
        <v>572</v>
      </c>
      <c r="C7" s="473">
        <v>347648</v>
      </c>
      <c r="D7" s="474">
        <v>347648</v>
      </c>
      <c r="E7" s="475">
        <v>293356</v>
      </c>
      <c r="F7" s="476">
        <v>317931.822952</v>
      </c>
      <c r="G7" s="282">
        <f t="shared" si="0"/>
        <v>-0.0854777736331001</v>
      </c>
      <c r="H7" s="273"/>
    </row>
    <row r="8" s="240" customFormat="1" ht="27.6" customHeight="1" spans="1:8">
      <c r="A8" s="276">
        <v>50102</v>
      </c>
      <c r="B8" s="277" t="s">
        <v>573</v>
      </c>
      <c r="C8" s="473">
        <v>41238</v>
      </c>
      <c r="D8" s="474">
        <v>41238</v>
      </c>
      <c r="E8" s="475">
        <v>13770</v>
      </c>
      <c r="F8" s="476">
        <v>13517.881509</v>
      </c>
      <c r="G8" s="282">
        <f t="shared" si="0"/>
        <v>-0.672198421140696</v>
      </c>
      <c r="H8" s="283"/>
    </row>
    <row r="9" s="240" customFormat="1" ht="27.6" customHeight="1" spans="1:8">
      <c r="A9" s="276">
        <v>50103</v>
      </c>
      <c r="B9" s="277" t="s">
        <v>574</v>
      </c>
      <c r="C9" s="473">
        <v>33680</v>
      </c>
      <c r="D9" s="474">
        <v>33680</v>
      </c>
      <c r="E9" s="475">
        <v>10568</v>
      </c>
      <c r="F9" s="476">
        <v>8806.787277</v>
      </c>
      <c r="G9" s="282">
        <f t="shared" si="0"/>
        <v>-0.738515817191211</v>
      </c>
      <c r="H9" s="283"/>
    </row>
    <row r="10" s="240" customFormat="1" ht="27.6" customHeight="1" spans="1:8">
      <c r="A10" s="276">
        <v>50199</v>
      </c>
      <c r="B10" s="277" t="s">
        <v>575</v>
      </c>
      <c r="C10" s="473">
        <v>21135</v>
      </c>
      <c r="D10" s="474">
        <v>21135</v>
      </c>
      <c r="E10" s="475">
        <v>87442</v>
      </c>
      <c r="F10" s="476">
        <v>90919.3193660002</v>
      </c>
      <c r="G10" s="282">
        <f t="shared" si="0"/>
        <v>3.30183673366455</v>
      </c>
      <c r="H10" s="283"/>
    </row>
    <row r="11" s="240" customFormat="1" ht="27.6" customHeight="1" spans="1:8">
      <c r="A11" s="265">
        <v>502</v>
      </c>
      <c r="B11" s="274" t="s">
        <v>576</v>
      </c>
      <c r="C11" s="468">
        <v>739231</v>
      </c>
      <c r="D11" s="469">
        <v>732312.841</v>
      </c>
      <c r="E11" s="471">
        <v>612417</v>
      </c>
      <c r="F11" s="472">
        <f>SUM(F12:F21)</f>
        <v>567007.753251</v>
      </c>
      <c r="G11" s="272">
        <f t="shared" si="0"/>
        <v>-0.225730150413954</v>
      </c>
      <c r="H11" s="283"/>
    </row>
    <row r="12" s="240" customFormat="1" ht="27.6" customHeight="1" spans="1:8">
      <c r="A12" s="276">
        <v>50201</v>
      </c>
      <c r="B12" s="277" t="s">
        <v>577</v>
      </c>
      <c r="C12" s="473">
        <v>89888</v>
      </c>
      <c r="D12" s="474">
        <v>89888</v>
      </c>
      <c r="E12" s="475">
        <v>99246</v>
      </c>
      <c r="F12" s="476">
        <v>83559.8227059999</v>
      </c>
      <c r="G12" s="282">
        <f t="shared" si="0"/>
        <v>-0.0704006907929879</v>
      </c>
      <c r="H12" s="283"/>
    </row>
    <row r="13" s="240" customFormat="1" ht="27.6" customHeight="1" spans="1:8">
      <c r="A13" s="276">
        <v>50202</v>
      </c>
      <c r="B13" s="277" t="s">
        <v>578</v>
      </c>
      <c r="C13" s="473">
        <v>216</v>
      </c>
      <c r="D13" s="474">
        <v>216</v>
      </c>
      <c r="E13" s="475">
        <v>246</v>
      </c>
      <c r="F13" s="476">
        <v>167.551243</v>
      </c>
      <c r="G13" s="282">
        <f t="shared" si="0"/>
        <v>-0.224299800925926</v>
      </c>
      <c r="H13" s="283"/>
    </row>
    <row r="14" s="240" customFormat="1" ht="27.6" customHeight="1" spans="1:8">
      <c r="A14" s="276">
        <v>50203</v>
      </c>
      <c r="B14" s="277" t="s">
        <v>579</v>
      </c>
      <c r="C14" s="473">
        <v>5626</v>
      </c>
      <c r="D14" s="474">
        <v>5626</v>
      </c>
      <c r="E14" s="475">
        <v>8804</v>
      </c>
      <c r="F14" s="476">
        <v>5010.556432</v>
      </c>
      <c r="G14" s="282">
        <f t="shared" si="0"/>
        <v>-0.109392742268041</v>
      </c>
      <c r="H14" s="283"/>
    </row>
    <row r="15" s="240" customFormat="1" ht="27.6" customHeight="1" spans="1:8">
      <c r="A15" s="276">
        <v>50204</v>
      </c>
      <c r="B15" s="277" t="s">
        <v>580</v>
      </c>
      <c r="C15" s="473">
        <v>4123</v>
      </c>
      <c r="D15" s="474">
        <v>4123</v>
      </c>
      <c r="E15" s="475">
        <v>12705</v>
      </c>
      <c r="F15" s="476">
        <v>7878.433887</v>
      </c>
      <c r="G15" s="282">
        <f t="shared" si="0"/>
        <v>0.910849839194761</v>
      </c>
      <c r="H15" s="283"/>
    </row>
    <row r="16" s="240" customFormat="1" ht="27.6" customHeight="1" spans="1:8">
      <c r="A16" s="276">
        <v>50205</v>
      </c>
      <c r="B16" s="277" t="s">
        <v>581</v>
      </c>
      <c r="C16" s="473">
        <v>340868</v>
      </c>
      <c r="D16" s="474">
        <v>340868</v>
      </c>
      <c r="E16" s="475">
        <v>351218</v>
      </c>
      <c r="F16" s="476">
        <v>329782.458668</v>
      </c>
      <c r="G16" s="282">
        <f t="shared" si="0"/>
        <v>-0.0325215078329442</v>
      </c>
      <c r="H16" s="283"/>
    </row>
    <row r="17" s="240" customFormat="1" ht="27.6" customHeight="1" spans="1:8">
      <c r="A17" s="276">
        <v>50206</v>
      </c>
      <c r="B17" s="277" t="s">
        <v>582</v>
      </c>
      <c r="C17" s="473">
        <v>438</v>
      </c>
      <c r="D17" s="474">
        <v>438</v>
      </c>
      <c r="E17" s="475">
        <v>140</v>
      </c>
      <c r="F17" s="476">
        <v>75.55265</v>
      </c>
      <c r="G17" s="282">
        <f t="shared" si="0"/>
        <v>-0.827505365296804</v>
      </c>
      <c r="H17" s="284"/>
    </row>
    <row r="18" s="240" customFormat="1" ht="27.6" customHeight="1" spans="1:8">
      <c r="A18" s="276">
        <v>50207</v>
      </c>
      <c r="B18" s="277" t="s">
        <v>583</v>
      </c>
      <c r="C18" s="473">
        <v>355</v>
      </c>
      <c r="D18" s="474">
        <v>355</v>
      </c>
      <c r="E18" s="475">
        <v>396</v>
      </c>
      <c r="F18" s="476">
        <v>321.939823</v>
      </c>
      <c r="G18" s="282">
        <f t="shared" si="0"/>
        <v>-0.0931272591549296</v>
      </c>
      <c r="H18" s="283"/>
    </row>
    <row r="19" s="240" customFormat="1" ht="27.6" customHeight="1" spans="1:8">
      <c r="A19" s="276">
        <v>50208</v>
      </c>
      <c r="B19" s="277" t="s">
        <v>584</v>
      </c>
      <c r="C19" s="473">
        <v>8075</v>
      </c>
      <c r="D19" s="474">
        <v>8075</v>
      </c>
      <c r="E19" s="475">
        <v>6388</v>
      </c>
      <c r="F19" s="476">
        <v>5270.22993499999</v>
      </c>
      <c r="G19" s="282">
        <f t="shared" si="0"/>
        <v>-0.347339946130032</v>
      </c>
      <c r="H19" s="283"/>
    </row>
    <row r="20" s="240" customFormat="1" ht="27.6" customHeight="1" spans="1:8">
      <c r="A20" s="276">
        <v>50209</v>
      </c>
      <c r="B20" s="277" t="s">
        <v>585</v>
      </c>
      <c r="C20" s="473">
        <v>11105</v>
      </c>
      <c r="D20" s="474">
        <v>11105</v>
      </c>
      <c r="E20" s="475">
        <v>19081</v>
      </c>
      <c r="F20" s="476">
        <v>26129.621062</v>
      </c>
      <c r="G20" s="282">
        <f t="shared" si="0"/>
        <v>1.35296002359298</v>
      </c>
      <c r="H20" s="283"/>
    </row>
    <row r="21" s="240" customFormat="1" ht="27.6" customHeight="1" spans="1:8">
      <c r="A21" s="276">
        <v>50299</v>
      </c>
      <c r="B21" s="277" t="s">
        <v>586</v>
      </c>
      <c r="C21" s="473">
        <v>278537</v>
      </c>
      <c r="D21" s="474">
        <v>271618.841</v>
      </c>
      <c r="E21" s="475">
        <v>114193</v>
      </c>
      <c r="F21" s="476">
        <v>108811.586845</v>
      </c>
      <c r="G21" s="282">
        <f t="shared" si="0"/>
        <v>-0.599396027004622</v>
      </c>
      <c r="H21" s="283"/>
    </row>
    <row r="22" s="240" customFormat="1" ht="27.6" customHeight="1" spans="1:8">
      <c r="A22" s="265">
        <v>503</v>
      </c>
      <c r="B22" s="274" t="s">
        <v>587</v>
      </c>
      <c r="C22" s="468">
        <v>73758</v>
      </c>
      <c r="D22" s="469">
        <v>73758</v>
      </c>
      <c r="E22" s="471">
        <v>101861</v>
      </c>
      <c r="F22" s="472">
        <f>SUM(F23:F29)</f>
        <v>80393.338607</v>
      </c>
      <c r="G22" s="272">
        <f t="shared" si="0"/>
        <v>0.08996093450202</v>
      </c>
      <c r="H22" s="283"/>
    </row>
    <row r="23" s="240" customFormat="1" ht="27.6" customHeight="1" spans="1:8">
      <c r="A23" s="276">
        <v>50301</v>
      </c>
      <c r="B23" s="277" t="s">
        <v>588</v>
      </c>
      <c r="C23" s="473">
        <v>345</v>
      </c>
      <c r="D23" s="474">
        <v>345</v>
      </c>
      <c r="E23" s="475">
        <v>194</v>
      </c>
      <c r="F23" s="476">
        <v>187.142935</v>
      </c>
      <c r="G23" s="282">
        <f t="shared" si="0"/>
        <v>-0.457556710144928</v>
      </c>
      <c r="H23" s="283"/>
    </row>
    <row r="24" s="240" customFormat="1" ht="27.6" customHeight="1" spans="1:8">
      <c r="A24" s="276">
        <v>50302</v>
      </c>
      <c r="B24" s="277" t="s">
        <v>589</v>
      </c>
      <c r="C24" s="473">
        <v>64260</v>
      </c>
      <c r="D24" s="474">
        <v>64260</v>
      </c>
      <c r="E24" s="475">
        <v>17115</v>
      </c>
      <c r="F24" s="476">
        <v>27881.902172</v>
      </c>
      <c r="G24" s="282">
        <f t="shared" si="0"/>
        <v>-0.566107964954871</v>
      </c>
      <c r="H24" s="283"/>
    </row>
    <row r="25" s="240" customFormat="1" ht="27.6" customHeight="1" spans="1:8">
      <c r="A25" s="276">
        <v>50303</v>
      </c>
      <c r="B25" s="277" t="s">
        <v>590</v>
      </c>
      <c r="C25" s="473">
        <v>650</v>
      </c>
      <c r="D25" s="474">
        <v>650</v>
      </c>
      <c r="E25" s="475">
        <v>9343</v>
      </c>
      <c r="F25" s="476">
        <v>4523.669972</v>
      </c>
      <c r="G25" s="282">
        <f t="shared" si="0"/>
        <v>5.95949226461538</v>
      </c>
      <c r="H25" s="283"/>
    </row>
    <row r="26" s="240" customFormat="1" ht="27.6" customHeight="1" spans="1:8">
      <c r="A26" s="276">
        <v>50305</v>
      </c>
      <c r="B26" s="277" t="s">
        <v>591</v>
      </c>
      <c r="C26" s="473">
        <v>0</v>
      </c>
      <c r="D26" s="474">
        <v>0</v>
      </c>
      <c r="E26" s="475">
        <v>6675</v>
      </c>
      <c r="F26" s="476">
        <v>6462.4441</v>
      </c>
      <c r="G26" s="282" t="s">
        <v>20</v>
      </c>
      <c r="H26" s="283"/>
    </row>
    <row r="27" s="240" customFormat="1" ht="27.6" customHeight="1" spans="1:8">
      <c r="A27" s="276">
        <v>50306</v>
      </c>
      <c r="B27" s="277" t="s">
        <v>592</v>
      </c>
      <c r="C27" s="473">
        <v>8004</v>
      </c>
      <c r="D27" s="474">
        <v>8004</v>
      </c>
      <c r="E27" s="475">
        <v>31098</v>
      </c>
      <c r="F27" s="476">
        <v>22198.967546</v>
      </c>
      <c r="G27" s="282">
        <f t="shared" si="0"/>
        <v>1.77348420114943</v>
      </c>
      <c r="H27" s="283"/>
    </row>
    <row r="28" s="240" customFormat="1" ht="27.6" customHeight="1" spans="1:8">
      <c r="A28" s="276">
        <v>50307</v>
      </c>
      <c r="B28" s="277" t="s">
        <v>593</v>
      </c>
      <c r="C28" s="473">
        <v>31</v>
      </c>
      <c r="D28" s="474">
        <v>31</v>
      </c>
      <c r="E28" s="475">
        <v>21269</v>
      </c>
      <c r="F28" s="476">
        <v>17272.890078</v>
      </c>
      <c r="G28" s="282">
        <f t="shared" si="0"/>
        <v>556.190002516129</v>
      </c>
      <c r="H28" s="283"/>
    </row>
    <row r="29" s="240" customFormat="1" ht="27.6" customHeight="1" spans="1:8">
      <c r="A29" s="276">
        <v>50399</v>
      </c>
      <c r="B29" s="277" t="s">
        <v>594</v>
      </c>
      <c r="C29" s="473">
        <v>468</v>
      </c>
      <c r="D29" s="474">
        <v>468</v>
      </c>
      <c r="E29" s="475">
        <v>16167</v>
      </c>
      <c r="F29" s="476">
        <v>1866.321804</v>
      </c>
      <c r="G29" s="282">
        <f t="shared" si="0"/>
        <v>2.9878671025641</v>
      </c>
      <c r="H29" s="283"/>
    </row>
    <row r="30" s="240" customFormat="1" ht="27.6" customHeight="1" spans="1:8">
      <c r="A30" s="265">
        <v>504</v>
      </c>
      <c r="B30" s="274" t="s">
        <v>595</v>
      </c>
      <c r="C30" s="468">
        <v>364817</v>
      </c>
      <c r="D30" s="469">
        <v>364817</v>
      </c>
      <c r="E30" s="471">
        <v>456255</v>
      </c>
      <c r="F30" s="472">
        <f>SUM(F31:F36)</f>
        <v>348878.295868</v>
      </c>
      <c r="G30" s="272">
        <f t="shared" si="0"/>
        <v>-0.0436895871957721</v>
      </c>
      <c r="H30" s="283"/>
    </row>
    <row r="31" s="240" customFormat="1" ht="27.6" customHeight="1" spans="1:8">
      <c r="A31" s="276">
        <v>50401</v>
      </c>
      <c r="B31" s="277" t="s">
        <v>596</v>
      </c>
      <c r="C31" s="473">
        <v>0</v>
      </c>
      <c r="D31" s="474">
        <v>0</v>
      </c>
      <c r="E31" s="475">
        <v>10889</v>
      </c>
      <c r="F31" s="476"/>
      <c r="G31" s="282" t="s">
        <v>20</v>
      </c>
      <c r="H31" s="283"/>
    </row>
    <row r="32" s="240" customFormat="1" ht="27.6" customHeight="1" spans="1:8">
      <c r="A32" s="276">
        <v>50402</v>
      </c>
      <c r="B32" s="277" t="s">
        <v>589</v>
      </c>
      <c r="C32" s="473">
        <v>0</v>
      </c>
      <c r="D32" s="474">
        <v>0</v>
      </c>
      <c r="E32" s="475">
        <v>343253</v>
      </c>
      <c r="F32" s="476">
        <v>320928.835607</v>
      </c>
      <c r="G32" s="282" t="s">
        <v>20</v>
      </c>
      <c r="H32" s="283"/>
    </row>
    <row r="33" s="240" customFormat="1" ht="27.6" customHeight="1" spans="1:8">
      <c r="A33" s="276">
        <v>50403</v>
      </c>
      <c r="B33" s="277" t="s">
        <v>597</v>
      </c>
      <c r="C33" s="473"/>
      <c r="D33" s="474"/>
      <c r="E33" s="475">
        <v>909</v>
      </c>
      <c r="F33" s="476">
        <v>16.632212</v>
      </c>
      <c r="G33" s="282"/>
      <c r="H33" s="283"/>
    </row>
    <row r="34" s="240" customFormat="1" ht="27.6" customHeight="1" spans="1:8">
      <c r="A34" s="276">
        <v>50404</v>
      </c>
      <c r="B34" s="277" t="s">
        <v>592</v>
      </c>
      <c r="C34" s="473">
        <v>217</v>
      </c>
      <c r="D34" s="474"/>
      <c r="E34" s="475">
        <v>18780</v>
      </c>
      <c r="F34" s="476">
        <v>7487.307601</v>
      </c>
      <c r="G34" s="282" t="s">
        <v>20</v>
      </c>
      <c r="H34" s="283"/>
    </row>
    <row r="35" s="240" customFormat="1" ht="27.6" customHeight="1" spans="1:8">
      <c r="A35" s="276">
        <v>50405</v>
      </c>
      <c r="B35" s="277" t="s">
        <v>593</v>
      </c>
      <c r="C35" s="473">
        <v>0</v>
      </c>
      <c r="D35" s="474">
        <v>217</v>
      </c>
      <c r="E35" s="475">
        <v>54022</v>
      </c>
      <c r="F35" s="476">
        <v>5483.644269</v>
      </c>
      <c r="G35" s="282">
        <f t="shared" ref="G35:G38" si="1">F35/D35-1</f>
        <v>24.2702500875576</v>
      </c>
      <c r="H35" s="283"/>
    </row>
    <row r="36" s="240" customFormat="1" ht="27.6" customHeight="1" spans="1:8">
      <c r="A36" s="276">
        <v>50499</v>
      </c>
      <c r="B36" s="277" t="s">
        <v>594</v>
      </c>
      <c r="C36" s="473">
        <v>364600</v>
      </c>
      <c r="D36" s="474">
        <v>364600</v>
      </c>
      <c r="E36" s="475">
        <v>28402</v>
      </c>
      <c r="F36" s="476">
        <v>14961.876179</v>
      </c>
      <c r="G36" s="282">
        <f t="shared" si="1"/>
        <v>-0.958963587002194</v>
      </c>
      <c r="H36" s="283"/>
    </row>
    <row r="37" s="240" customFormat="1" ht="27.6" customHeight="1" spans="1:8">
      <c r="A37" s="265">
        <v>505</v>
      </c>
      <c r="B37" s="274" t="s">
        <v>598</v>
      </c>
      <c r="C37" s="468">
        <v>1319573</v>
      </c>
      <c r="D37" s="469">
        <v>1296587.249</v>
      </c>
      <c r="E37" s="471">
        <v>1177501</v>
      </c>
      <c r="F37" s="472">
        <f>SUM(F38:F40)</f>
        <v>1385851.118099</v>
      </c>
      <c r="G37" s="272">
        <f t="shared" si="1"/>
        <v>0.0688452467567062</v>
      </c>
      <c r="H37" s="283"/>
    </row>
    <row r="38" s="240" customFormat="1" ht="27.6" customHeight="1" spans="1:8">
      <c r="A38" s="276">
        <v>50501</v>
      </c>
      <c r="B38" s="277" t="s">
        <v>599</v>
      </c>
      <c r="C38" s="473">
        <v>752781</v>
      </c>
      <c r="D38" s="474">
        <v>729795.249</v>
      </c>
      <c r="E38" s="475">
        <v>673156</v>
      </c>
      <c r="F38" s="476">
        <v>841402.196015003</v>
      </c>
      <c r="G38" s="282">
        <f t="shared" si="1"/>
        <v>0.152929122473642</v>
      </c>
      <c r="H38" s="283"/>
    </row>
    <row r="39" s="240" customFormat="1" ht="27.6" customHeight="1" spans="1:8">
      <c r="A39" s="276">
        <v>50502</v>
      </c>
      <c r="B39" s="277" t="s">
        <v>600</v>
      </c>
      <c r="C39" s="473">
        <v>566792</v>
      </c>
      <c r="D39" s="474">
        <v>566792</v>
      </c>
      <c r="E39" s="475">
        <v>495097</v>
      </c>
      <c r="F39" s="476">
        <v>527839.196199001</v>
      </c>
      <c r="G39" s="282">
        <f t="shared" ref="G39:G65" si="2">F39/D39-1</f>
        <v>-0.068725041639612</v>
      </c>
      <c r="H39" s="283"/>
    </row>
    <row r="40" s="240" customFormat="1" ht="27.6" customHeight="1" spans="1:8">
      <c r="A40" s="276">
        <v>50599</v>
      </c>
      <c r="B40" s="277" t="s">
        <v>601</v>
      </c>
      <c r="C40" s="473">
        <v>0</v>
      </c>
      <c r="D40" s="474">
        <v>0</v>
      </c>
      <c r="E40" s="475">
        <v>9248</v>
      </c>
      <c r="F40" s="476">
        <v>16609.725885</v>
      </c>
      <c r="G40" s="282" t="s">
        <v>20</v>
      </c>
      <c r="H40" s="283"/>
    </row>
    <row r="41" s="240" customFormat="1" ht="27.6" customHeight="1" spans="1:8">
      <c r="A41" s="265">
        <v>506</v>
      </c>
      <c r="B41" s="274" t="s">
        <v>602</v>
      </c>
      <c r="C41" s="468">
        <v>225116</v>
      </c>
      <c r="D41" s="469">
        <v>225116</v>
      </c>
      <c r="E41" s="471">
        <v>183128</v>
      </c>
      <c r="F41" s="472">
        <f>SUM(F42:F43)</f>
        <v>317175.379368</v>
      </c>
      <c r="G41" s="272">
        <f t="shared" si="2"/>
        <v>0.408941964889213</v>
      </c>
      <c r="H41" s="283"/>
    </row>
    <row r="42" s="240" customFormat="1" ht="27.6" customHeight="1" spans="1:8">
      <c r="A42" s="276">
        <v>50601</v>
      </c>
      <c r="B42" s="277" t="s">
        <v>603</v>
      </c>
      <c r="C42" s="473">
        <v>24870</v>
      </c>
      <c r="D42" s="474">
        <v>24870</v>
      </c>
      <c r="E42" s="475">
        <v>50935</v>
      </c>
      <c r="F42" s="476">
        <v>51192.472131</v>
      </c>
      <c r="G42" s="282">
        <f t="shared" si="2"/>
        <v>1.05840257864897</v>
      </c>
      <c r="H42" s="283"/>
    </row>
    <row r="43" s="240" customFormat="1" ht="27.6" customHeight="1" spans="1:8">
      <c r="A43" s="276">
        <v>50602</v>
      </c>
      <c r="B43" s="277" t="s">
        <v>604</v>
      </c>
      <c r="C43" s="473">
        <v>200246</v>
      </c>
      <c r="D43" s="474">
        <v>200246</v>
      </c>
      <c r="E43" s="475">
        <v>132193</v>
      </c>
      <c r="F43" s="476">
        <v>265982.907237</v>
      </c>
      <c r="G43" s="282">
        <f t="shared" si="2"/>
        <v>0.32828075086144</v>
      </c>
      <c r="H43" s="283"/>
    </row>
    <row r="44" s="240" customFormat="1" ht="27.6" customHeight="1" spans="1:8">
      <c r="A44" s="265">
        <v>507</v>
      </c>
      <c r="B44" s="274" t="s">
        <v>605</v>
      </c>
      <c r="C44" s="468">
        <v>264492</v>
      </c>
      <c r="D44" s="469">
        <v>264492</v>
      </c>
      <c r="E44" s="471">
        <v>279584</v>
      </c>
      <c r="F44" s="472">
        <f>SUM(F45:F46)</f>
        <v>290482.407393</v>
      </c>
      <c r="G44" s="272">
        <f t="shared" si="2"/>
        <v>0.0982653819132524</v>
      </c>
      <c r="H44" s="283"/>
    </row>
    <row r="45" s="240" customFormat="1" ht="27.6" customHeight="1" spans="1:8">
      <c r="A45" s="276">
        <v>50701</v>
      </c>
      <c r="B45" s="277" t="s">
        <v>606</v>
      </c>
      <c r="C45" s="473">
        <v>156272</v>
      </c>
      <c r="D45" s="474">
        <v>156272</v>
      </c>
      <c r="E45" s="475">
        <v>143291</v>
      </c>
      <c r="F45" s="476">
        <v>154163.306862</v>
      </c>
      <c r="G45" s="282">
        <f t="shared" si="2"/>
        <v>-0.0134937361651479</v>
      </c>
      <c r="H45" s="283"/>
    </row>
    <row r="46" s="240" customFormat="1" ht="27.6" customHeight="1" spans="1:8">
      <c r="A46" s="276">
        <v>50799</v>
      </c>
      <c r="B46" s="277" t="s">
        <v>607</v>
      </c>
      <c r="C46" s="473">
        <v>108220</v>
      </c>
      <c r="D46" s="474">
        <v>108220</v>
      </c>
      <c r="E46" s="475">
        <v>136293</v>
      </c>
      <c r="F46" s="476">
        <v>136319.100531</v>
      </c>
      <c r="G46" s="282">
        <f t="shared" si="2"/>
        <v>0.25964794428941</v>
      </c>
      <c r="H46" s="283"/>
    </row>
    <row r="47" s="240" customFormat="1" ht="27.6" customHeight="1" spans="1:8">
      <c r="A47" s="265">
        <v>508</v>
      </c>
      <c r="B47" s="274" t="s">
        <v>608</v>
      </c>
      <c r="C47" s="468"/>
      <c r="D47" s="469">
        <v>0</v>
      </c>
      <c r="E47" s="471">
        <v>146045</v>
      </c>
      <c r="F47" s="472"/>
      <c r="G47" s="272" t="s">
        <v>20</v>
      </c>
      <c r="H47" s="283"/>
    </row>
    <row r="48" s="240" customFormat="1" ht="27.6" customHeight="1" spans="1:8">
      <c r="A48" s="276">
        <v>50801</v>
      </c>
      <c r="B48" s="277" t="s">
        <v>609</v>
      </c>
      <c r="C48" s="473"/>
      <c r="D48" s="474">
        <v>0</v>
      </c>
      <c r="E48" s="475">
        <v>45705</v>
      </c>
      <c r="F48" s="476"/>
      <c r="G48" s="272" t="s">
        <v>20</v>
      </c>
      <c r="H48" s="283"/>
    </row>
    <row r="49" s="240" customFormat="1" ht="27.6" customHeight="1" spans="1:8">
      <c r="A49" s="276">
        <v>50802</v>
      </c>
      <c r="B49" s="277" t="s">
        <v>610</v>
      </c>
      <c r="C49" s="473"/>
      <c r="D49" s="474">
        <v>0</v>
      </c>
      <c r="E49" s="475">
        <v>1549</v>
      </c>
      <c r="F49" s="476"/>
      <c r="G49" s="272" t="s">
        <v>20</v>
      </c>
      <c r="H49" s="283"/>
    </row>
    <row r="50" s="240" customFormat="1" ht="27.6" customHeight="1" spans="1:8">
      <c r="A50" s="265">
        <v>509</v>
      </c>
      <c r="B50" s="274" t="s">
        <v>611</v>
      </c>
      <c r="C50" s="468">
        <v>122746</v>
      </c>
      <c r="D50" s="469">
        <v>122746</v>
      </c>
      <c r="E50" s="475">
        <v>16</v>
      </c>
      <c r="F50" s="472">
        <f>SUM(F51:F55)</f>
        <v>145580.744511</v>
      </c>
      <c r="G50" s="272">
        <f t="shared" si="2"/>
        <v>0.186032494020172</v>
      </c>
      <c r="H50" s="283"/>
    </row>
    <row r="51" s="240" customFormat="1" ht="27.6" customHeight="1" spans="1:8">
      <c r="A51" s="276">
        <v>50901</v>
      </c>
      <c r="B51" s="277" t="s">
        <v>612</v>
      </c>
      <c r="C51" s="473">
        <v>33861</v>
      </c>
      <c r="D51" s="474">
        <v>33861</v>
      </c>
      <c r="E51" s="475">
        <v>63485</v>
      </c>
      <c r="F51" s="476">
        <v>48450.120938</v>
      </c>
      <c r="G51" s="282">
        <f t="shared" si="2"/>
        <v>0.430853221641416</v>
      </c>
      <c r="H51" s="283"/>
    </row>
    <row r="52" s="240" customFormat="1" ht="27.6" customHeight="1" spans="1:8">
      <c r="A52" s="276">
        <v>50902</v>
      </c>
      <c r="B52" s="277" t="s">
        <v>613</v>
      </c>
      <c r="C52" s="473">
        <v>534</v>
      </c>
      <c r="D52" s="474">
        <v>534</v>
      </c>
      <c r="E52" s="475">
        <v>35290</v>
      </c>
      <c r="F52" s="476">
        <v>1292.52926</v>
      </c>
      <c r="G52" s="282">
        <f t="shared" si="2"/>
        <v>1.42046677902622</v>
      </c>
      <c r="H52" s="283"/>
    </row>
    <row r="53" s="240" customFormat="1" ht="27.6" customHeight="1" spans="1:8">
      <c r="A53" s="276">
        <v>50903</v>
      </c>
      <c r="B53" s="277" t="s">
        <v>614</v>
      </c>
      <c r="C53" s="473">
        <v>6</v>
      </c>
      <c r="D53" s="474">
        <v>6</v>
      </c>
      <c r="E53" s="471">
        <v>5495</v>
      </c>
      <c r="F53" s="476">
        <v>0</v>
      </c>
      <c r="G53" s="282">
        <f t="shared" si="2"/>
        <v>-1</v>
      </c>
      <c r="H53" s="283"/>
    </row>
    <row r="54" s="240" customFormat="1" ht="27.6" customHeight="1" spans="1:8">
      <c r="A54" s="276">
        <v>50905</v>
      </c>
      <c r="B54" s="277" t="s">
        <v>615</v>
      </c>
      <c r="C54" s="473">
        <v>47386</v>
      </c>
      <c r="D54" s="474">
        <v>47386</v>
      </c>
      <c r="E54" s="475">
        <v>5495</v>
      </c>
      <c r="F54" s="476">
        <v>41730.4765</v>
      </c>
      <c r="G54" s="282">
        <f t="shared" si="2"/>
        <v>-0.11935009285443</v>
      </c>
      <c r="H54" s="283"/>
    </row>
    <row r="55" s="240" customFormat="1" ht="27.6" customHeight="1" spans="1:8">
      <c r="A55" s="276">
        <v>50999</v>
      </c>
      <c r="B55" s="277" t="s">
        <v>616</v>
      </c>
      <c r="C55" s="473">
        <v>40959</v>
      </c>
      <c r="D55" s="474">
        <v>40959</v>
      </c>
      <c r="E55" s="471">
        <v>1327</v>
      </c>
      <c r="F55" s="476">
        <v>54107.617813</v>
      </c>
      <c r="G55" s="282">
        <f t="shared" si="2"/>
        <v>0.321019014453478</v>
      </c>
      <c r="H55" s="283"/>
    </row>
    <row r="56" s="240" customFormat="1" ht="27.6" customHeight="1" spans="1:8">
      <c r="A56" s="265">
        <v>510</v>
      </c>
      <c r="B56" s="277" t="s">
        <v>617</v>
      </c>
      <c r="C56" s="473">
        <v>1</v>
      </c>
      <c r="D56" s="474">
        <v>1</v>
      </c>
      <c r="E56" s="475">
        <v>1327</v>
      </c>
      <c r="F56" s="476"/>
      <c r="G56" s="282">
        <f t="shared" si="2"/>
        <v>-1</v>
      </c>
      <c r="H56" s="283"/>
    </row>
    <row r="57" s="240" customFormat="1" ht="27.6" customHeight="1" spans="1:8">
      <c r="A57" s="276">
        <v>51002</v>
      </c>
      <c r="B57" s="277" t="s">
        <v>618</v>
      </c>
      <c r="C57" s="473">
        <v>1</v>
      </c>
      <c r="D57" s="474">
        <v>1</v>
      </c>
      <c r="E57" s="474"/>
      <c r="F57" s="476"/>
      <c r="G57" s="282">
        <f t="shared" si="2"/>
        <v>-1</v>
      </c>
      <c r="H57" s="283"/>
    </row>
    <row r="58" s="240" customFormat="1" ht="27.6" customHeight="1" spans="1:8">
      <c r="A58" s="265">
        <v>511</v>
      </c>
      <c r="B58" s="274" t="s">
        <v>619</v>
      </c>
      <c r="C58" s="468">
        <v>2000</v>
      </c>
      <c r="D58" s="469">
        <v>2000</v>
      </c>
      <c r="E58" s="469"/>
      <c r="F58" s="472">
        <v>1905</v>
      </c>
      <c r="G58" s="272">
        <f t="shared" si="2"/>
        <v>-0.0475</v>
      </c>
      <c r="H58" s="283"/>
    </row>
    <row r="59" s="240" customFormat="1" ht="27.6" customHeight="1" spans="1:8">
      <c r="A59" s="276">
        <v>51101</v>
      </c>
      <c r="B59" s="277" t="s">
        <v>620</v>
      </c>
      <c r="C59" s="473">
        <v>2000</v>
      </c>
      <c r="D59" s="474">
        <v>2000</v>
      </c>
      <c r="E59" s="474"/>
      <c r="F59" s="476">
        <v>1905</v>
      </c>
      <c r="G59" s="282">
        <f t="shared" si="2"/>
        <v>-0.0475</v>
      </c>
      <c r="H59" s="283"/>
    </row>
    <row r="60" s="240" customFormat="1" ht="27.6" customHeight="1" spans="1:8">
      <c r="A60" s="265">
        <v>514</v>
      </c>
      <c r="B60" s="274" t="s">
        <v>621</v>
      </c>
      <c r="C60" s="468">
        <v>80000</v>
      </c>
      <c r="D60" s="469">
        <v>60000</v>
      </c>
      <c r="E60" s="469"/>
      <c r="F60" s="472"/>
      <c r="G60" s="272">
        <f t="shared" si="2"/>
        <v>-1</v>
      </c>
      <c r="H60" s="283"/>
    </row>
    <row r="61" s="240" customFormat="1" ht="27.6" customHeight="1" spans="1:8">
      <c r="A61" s="276">
        <v>51401</v>
      </c>
      <c r="B61" s="277" t="s">
        <v>622</v>
      </c>
      <c r="C61" s="473">
        <v>80000</v>
      </c>
      <c r="D61" s="474">
        <v>60000</v>
      </c>
      <c r="E61" s="474"/>
      <c r="F61" s="476"/>
      <c r="G61" s="282">
        <f t="shared" si="2"/>
        <v>-1</v>
      </c>
      <c r="H61" s="283"/>
    </row>
    <row r="62" s="240" customFormat="1" ht="27.6" customHeight="1" spans="1:8">
      <c r="A62" s="276">
        <v>51402</v>
      </c>
      <c r="B62" s="277" t="s">
        <v>623</v>
      </c>
      <c r="C62" s="473">
        <v>23213</v>
      </c>
      <c r="D62" s="474"/>
      <c r="E62" s="474"/>
      <c r="F62" s="476"/>
      <c r="G62" s="272" t="s">
        <v>20</v>
      </c>
      <c r="H62" s="283"/>
    </row>
    <row r="63" s="240" customFormat="1" ht="27.6" customHeight="1" spans="1:8">
      <c r="A63" s="265">
        <v>599</v>
      </c>
      <c r="B63" s="274" t="s">
        <v>624</v>
      </c>
      <c r="C63" s="468">
        <v>23213</v>
      </c>
      <c r="D63" s="469">
        <v>23213</v>
      </c>
      <c r="E63" s="469"/>
      <c r="F63" s="472">
        <f>SUM(F64:F65)</f>
        <v>657.625158</v>
      </c>
      <c r="G63" s="272">
        <f t="shared" si="2"/>
        <v>-0.97166996260716</v>
      </c>
      <c r="H63" s="283"/>
    </row>
    <row r="64" s="240" customFormat="1" ht="42.95" customHeight="1" spans="1:8">
      <c r="A64" s="276">
        <v>59908</v>
      </c>
      <c r="B64" s="477" t="s">
        <v>625</v>
      </c>
      <c r="C64" s="473"/>
      <c r="D64" s="474"/>
      <c r="E64" s="474"/>
      <c r="F64" s="476">
        <v>362.355634</v>
      </c>
      <c r="G64" s="272" t="s">
        <v>20</v>
      </c>
      <c r="H64" s="283"/>
    </row>
    <row r="65" s="240" customFormat="1" ht="27.6" customHeight="1" spans="1:8">
      <c r="A65" s="276">
        <v>59999</v>
      </c>
      <c r="B65" s="277" t="s">
        <v>626</v>
      </c>
      <c r="C65" s="473">
        <v>23213</v>
      </c>
      <c r="D65" s="474">
        <v>23213</v>
      </c>
      <c r="E65" s="474"/>
      <c r="F65" s="476">
        <v>295.269524</v>
      </c>
      <c r="G65" s="282">
        <f t="shared" si="2"/>
        <v>-0.987279992934993</v>
      </c>
      <c r="H65" s="283"/>
    </row>
  </sheetData>
  <mergeCells count="1">
    <mergeCell ref="A2:H2"/>
  </mergeCells>
  <printOptions horizontalCentered="1"/>
  <pageMargins left="0.59" right="0.59" top="0.79" bottom="0.79" header="0.16" footer="0.31"/>
  <pageSetup paperSize="9" scale="75"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2"/>
  <sheetViews>
    <sheetView zoomScale="70" zoomScaleNormal="70" zoomScaleSheetLayoutView="60" workbookViewId="0">
      <selection activeCell="D40" sqref="D40"/>
    </sheetView>
  </sheetViews>
  <sheetFormatPr defaultColWidth="8.75" defaultRowHeight="17.25" outlineLevelCol="7"/>
  <cols>
    <col min="1" max="1" width="6.25" style="409" customWidth="1"/>
    <col min="2" max="2" width="18.125" style="410" customWidth="1"/>
    <col min="3" max="3" width="15.25" style="411" customWidth="1"/>
    <col min="4" max="4" width="55.125" style="411" customWidth="1"/>
    <col min="5" max="5" width="21.875" style="412" customWidth="1"/>
    <col min="6" max="6" width="23" style="411" customWidth="1"/>
    <col min="7" max="7" width="12.625" style="411" hidden="1" customWidth="1"/>
    <col min="8" max="8" width="18" style="411" customWidth="1"/>
    <col min="9" max="16384" width="8.75" style="411"/>
  </cols>
  <sheetData>
    <row r="1" ht="17.1" customHeight="1" spans="1:8">
      <c r="A1" s="413" t="s">
        <v>627</v>
      </c>
    </row>
    <row r="2" ht="33.6" customHeight="1" spans="1:8">
      <c r="A2" s="414" t="s">
        <v>628</v>
      </c>
      <c r="B2" s="415"/>
      <c r="C2" s="414"/>
      <c r="D2" s="414"/>
      <c r="E2" s="414"/>
      <c r="F2" s="414"/>
    </row>
    <row r="3" ht="20.45" customHeight="1" spans="1:8">
      <c r="D3" s="416"/>
      <c r="F3" s="417" t="s">
        <v>38</v>
      </c>
    </row>
    <row r="4" ht="33.6" customHeight="1" spans="1:8">
      <c r="A4" s="418" t="s">
        <v>629</v>
      </c>
      <c r="B4" s="419"/>
      <c r="C4" s="420"/>
      <c r="D4" s="420"/>
      <c r="E4" s="420"/>
      <c r="F4" s="421"/>
    </row>
    <row r="5" ht="33.6" customHeight="1" spans="1:8">
      <c r="A5" s="422" t="s">
        <v>630</v>
      </c>
      <c r="B5" s="423" t="s">
        <v>631</v>
      </c>
      <c r="C5" s="424"/>
      <c r="D5" s="425"/>
      <c r="E5" s="426" t="s">
        <v>632</v>
      </c>
      <c r="F5" s="427"/>
    </row>
    <row r="6" ht="33.6" customHeight="1" spans="1:8">
      <c r="A6" s="428"/>
      <c r="B6" s="423" t="s">
        <v>633</v>
      </c>
      <c r="C6" s="429"/>
      <c r="D6" s="430"/>
      <c r="E6" s="431">
        <f>SUM(E7:E9)</f>
        <v>63604</v>
      </c>
      <c r="F6" s="427"/>
    </row>
    <row r="7" ht="33.6" customHeight="1" spans="1:8">
      <c r="A7" s="428">
        <v>1</v>
      </c>
      <c r="B7" s="432" t="s">
        <v>634</v>
      </c>
      <c r="C7" s="433"/>
      <c r="D7" s="434"/>
      <c r="E7" s="435">
        <f>30348+366</f>
        <v>30714</v>
      </c>
      <c r="F7" s="427"/>
    </row>
    <row r="8" ht="33.6" customHeight="1" spans="1:8">
      <c r="A8" s="428">
        <v>2</v>
      </c>
      <c r="B8" s="432" t="s">
        <v>635</v>
      </c>
      <c r="C8" s="433"/>
      <c r="D8" s="434"/>
      <c r="E8" s="435">
        <v>34029</v>
      </c>
      <c r="F8" s="427"/>
    </row>
    <row r="9" ht="33.6" customHeight="1" spans="1:8">
      <c r="A9" s="428">
        <v>3</v>
      </c>
      <c r="B9" s="432" t="s">
        <v>636</v>
      </c>
      <c r="C9" s="433"/>
      <c r="D9" s="434"/>
      <c r="E9" s="435">
        <v>-1139</v>
      </c>
      <c r="F9" s="427"/>
      <c r="H9" s="412"/>
    </row>
    <row r="10" ht="33.6" customHeight="1" spans="1:8">
      <c r="A10" s="418" t="s">
        <v>637</v>
      </c>
      <c r="B10" s="419"/>
      <c r="C10" s="420"/>
      <c r="D10" s="420"/>
      <c r="E10" s="420"/>
      <c r="F10" s="421"/>
    </row>
    <row r="11" ht="33.6" customHeight="1" spans="1:8">
      <c r="A11" s="436" t="s">
        <v>630</v>
      </c>
      <c r="B11" s="437" t="s">
        <v>638</v>
      </c>
      <c r="C11" s="436"/>
      <c r="D11" s="436"/>
      <c r="E11" s="438" t="s">
        <v>632</v>
      </c>
      <c r="F11" s="436" t="s">
        <v>639</v>
      </c>
    </row>
    <row r="12" ht="33.6" customHeight="1" spans="1:8">
      <c r="A12" s="428"/>
      <c r="B12" s="439" t="s">
        <v>633</v>
      </c>
      <c r="C12" s="136"/>
      <c r="D12" s="136"/>
      <c r="E12" s="431">
        <f>SUM(E13:E19)</f>
        <v>20237</v>
      </c>
      <c r="F12" s="440"/>
    </row>
    <row r="13" ht="33.6" customHeight="1" spans="1:8">
      <c r="A13" s="428">
        <v>1</v>
      </c>
      <c r="B13" s="441" t="s">
        <v>640</v>
      </c>
      <c r="C13" s="442"/>
      <c r="D13" s="442"/>
      <c r="E13" s="435">
        <v>134</v>
      </c>
      <c r="F13" s="428" t="s">
        <v>641</v>
      </c>
    </row>
    <row r="14" ht="33.6" customHeight="1" spans="1:8">
      <c r="A14" s="428">
        <v>2</v>
      </c>
      <c r="B14" s="441" t="s">
        <v>642</v>
      </c>
      <c r="C14" s="442"/>
      <c r="D14" s="442"/>
      <c r="E14" s="435">
        <v>7053</v>
      </c>
      <c r="F14" s="428" t="s">
        <v>641</v>
      </c>
    </row>
    <row r="15" ht="33.6" customHeight="1" spans="1:8">
      <c r="A15" s="428">
        <v>3</v>
      </c>
      <c r="B15" s="441" t="s">
        <v>643</v>
      </c>
      <c r="C15" s="442"/>
      <c r="D15" s="442"/>
      <c r="E15" s="435">
        <v>420</v>
      </c>
      <c r="F15" s="428" t="s">
        <v>641</v>
      </c>
    </row>
    <row r="16" ht="33.6" customHeight="1" spans="1:8">
      <c r="A16" s="443">
        <v>4</v>
      </c>
      <c r="B16" s="441" t="s">
        <v>644</v>
      </c>
      <c r="C16" s="442"/>
      <c r="D16" s="442"/>
      <c r="E16" s="444">
        <v>8704</v>
      </c>
      <c r="F16" s="428" t="s">
        <v>641</v>
      </c>
    </row>
    <row r="17" ht="33.6" customHeight="1" spans="1:7">
      <c r="A17" s="428">
        <v>5</v>
      </c>
      <c r="B17" s="441" t="s">
        <v>645</v>
      </c>
      <c r="C17" s="442"/>
      <c r="D17" s="442"/>
      <c r="E17" s="444">
        <v>-2603</v>
      </c>
      <c r="F17" s="428" t="s">
        <v>641</v>
      </c>
    </row>
    <row r="18" ht="33.6" customHeight="1" spans="1:7">
      <c r="A18" s="443">
        <v>6</v>
      </c>
      <c r="B18" s="441" t="s">
        <v>646</v>
      </c>
      <c r="C18" s="442"/>
      <c r="D18" s="442"/>
      <c r="E18" s="444">
        <v>147</v>
      </c>
      <c r="F18" s="428" t="s">
        <v>641</v>
      </c>
    </row>
    <row r="19" ht="33.6" customHeight="1" spans="1:7">
      <c r="A19" s="428">
        <v>7</v>
      </c>
      <c r="B19" s="441" t="s">
        <v>647</v>
      </c>
      <c r="C19" s="442"/>
      <c r="D19" s="442"/>
      <c r="E19" s="444">
        <v>6382</v>
      </c>
      <c r="F19" s="428" t="s">
        <v>641</v>
      </c>
    </row>
    <row r="20" ht="33.6" customHeight="1" spans="1:7">
      <c r="A20" s="418" t="s">
        <v>648</v>
      </c>
      <c r="B20" s="419"/>
      <c r="C20" s="420"/>
      <c r="D20" s="420"/>
      <c r="E20" s="420"/>
      <c r="F20" s="421"/>
    </row>
    <row r="21" ht="33.6" customHeight="1" spans="1:7">
      <c r="A21" s="445" t="s">
        <v>630</v>
      </c>
      <c r="B21" s="445" t="s">
        <v>649</v>
      </c>
      <c r="C21" s="445" t="s">
        <v>40</v>
      </c>
      <c r="D21" s="446" t="s">
        <v>638</v>
      </c>
      <c r="E21" s="447" t="s">
        <v>632</v>
      </c>
      <c r="F21" s="448" t="s">
        <v>639</v>
      </c>
    </row>
    <row r="22" ht="33.6" customHeight="1" spans="1:7">
      <c r="A22" s="445"/>
      <c r="B22" s="449" t="s">
        <v>633</v>
      </c>
      <c r="C22" s="450"/>
      <c r="D22" s="451"/>
      <c r="E22" s="452">
        <f>E29+E32+E65+E73+E82+E98+E114+E118+E125+E133+E135+E138+E140+E142</f>
        <v>1027931.7369</v>
      </c>
      <c r="F22" s="448"/>
    </row>
    <row r="23" ht="43.5" customHeight="1" spans="1:7">
      <c r="A23" s="453">
        <v>1</v>
      </c>
      <c r="B23" s="453" t="s">
        <v>650</v>
      </c>
      <c r="C23" s="453" t="s">
        <v>651</v>
      </c>
      <c r="D23" s="454" t="s">
        <v>652</v>
      </c>
      <c r="E23" s="455">
        <v>48</v>
      </c>
      <c r="F23" s="453" t="s">
        <v>653</v>
      </c>
    </row>
    <row r="24" ht="43.5" customHeight="1" spans="1:7">
      <c r="A24" s="453">
        <v>2</v>
      </c>
      <c r="B24" s="453" t="s">
        <v>654</v>
      </c>
      <c r="C24" s="453" t="s">
        <v>651</v>
      </c>
      <c r="D24" s="454" t="s">
        <v>655</v>
      </c>
      <c r="E24" s="455">
        <v>5.4</v>
      </c>
      <c r="F24" s="453" t="s">
        <v>653</v>
      </c>
    </row>
    <row r="25" ht="49.5" customHeight="1" spans="1:7">
      <c r="A25" s="453">
        <v>3</v>
      </c>
      <c r="B25" s="453" t="s">
        <v>656</v>
      </c>
      <c r="C25" s="453" t="s">
        <v>651</v>
      </c>
      <c r="D25" s="454" t="s">
        <v>657</v>
      </c>
      <c r="E25" s="455">
        <v>2</v>
      </c>
      <c r="F25" s="453" t="s">
        <v>658</v>
      </c>
    </row>
    <row r="26" ht="49.5" customHeight="1" spans="1:7">
      <c r="A26" s="453">
        <v>4</v>
      </c>
      <c r="B26" s="453" t="s">
        <v>659</v>
      </c>
      <c r="C26" s="453" t="s">
        <v>651</v>
      </c>
      <c r="D26" s="454" t="s">
        <v>660</v>
      </c>
      <c r="E26" s="455">
        <v>130</v>
      </c>
      <c r="F26" s="453" t="s">
        <v>658</v>
      </c>
    </row>
    <row r="27" ht="49.5" customHeight="1" spans="1:7">
      <c r="A27" s="453">
        <v>5</v>
      </c>
      <c r="B27" s="453" t="s">
        <v>661</v>
      </c>
      <c r="C27" s="453" t="s">
        <v>651</v>
      </c>
      <c r="D27" s="454" t="s">
        <v>662</v>
      </c>
      <c r="E27" s="455">
        <v>2</v>
      </c>
      <c r="F27" s="453" t="s">
        <v>658</v>
      </c>
    </row>
    <row r="28" ht="49.5" customHeight="1" spans="1:7">
      <c r="A28" s="453">
        <v>6</v>
      </c>
      <c r="B28" s="453" t="s">
        <v>663</v>
      </c>
      <c r="C28" s="453" t="s">
        <v>651</v>
      </c>
      <c r="D28" s="454" t="s">
        <v>664</v>
      </c>
      <c r="E28" s="455">
        <v>100</v>
      </c>
      <c r="F28" s="453" t="s">
        <v>658</v>
      </c>
    </row>
    <row r="29" ht="43.5" customHeight="1" spans="1:7">
      <c r="A29" s="453"/>
      <c r="B29" s="453"/>
      <c r="C29" s="448" t="s">
        <v>665</v>
      </c>
      <c r="D29" s="454"/>
      <c r="E29" s="452">
        <f>SUM(E23:E28)</f>
        <v>287.4</v>
      </c>
      <c r="F29" s="453"/>
    </row>
    <row r="30" ht="43.5" customHeight="1" spans="1:7">
      <c r="A30" s="453">
        <v>7</v>
      </c>
      <c r="B30" s="453" t="s">
        <v>666</v>
      </c>
      <c r="C30" s="453" t="s">
        <v>667</v>
      </c>
      <c r="D30" s="454" t="s">
        <v>668</v>
      </c>
      <c r="E30" s="455">
        <v>1263</v>
      </c>
      <c r="F30" s="453" t="s">
        <v>653</v>
      </c>
    </row>
    <row r="31" ht="43.5" customHeight="1" spans="1:7">
      <c r="A31" s="453">
        <v>8</v>
      </c>
      <c r="B31" s="453" t="s">
        <v>669</v>
      </c>
      <c r="C31" s="453" t="s">
        <v>667</v>
      </c>
      <c r="D31" s="454" t="s">
        <v>670</v>
      </c>
      <c r="E31" s="455">
        <v>470</v>
      </c>
      <c r="F31" s="453" t="s">
        <v>658</v>
      </c>
    </row>
    <row r="32" s="408" customFormat="1" ht="43.5" customHeight="1" spans="1:7">
      <c r="A32" s="448"/>
      <c r="B32" s="448"/>
      <c r="C32" s="448" t="s">
        <v>671</v>
      </c>
      <c r="D32" s="446"/>
      <c r="E32" s="452">
        <f>SUM(E30:E31)</f>
        <v>1733</v>
      </c>
      <c r="F32" s="448"/>
      <c r="G32" s="411"/>
    </row>
    <row r="33" ht="59.25" customHeight="1" spans="1:6">
      <c r="A33" s="453">
        <v>9</v>
      </c>
      <c r="B33" s="453" t="s">
        <v>672</v>
      </c>
      <c r="C33" s="453" t="s">
        <v>673</v>
      </c>
      <c r="D33" s="454" t="s">
        <v>674</v>
      </c>
      <c r="E33" s="455">
        <v>67.9</v>
      </c>
      <c r="F33" s="453" t="s">
        <v>653</v>
      </c>
    </row>
    <row r="34" ht="43.5" customHeight="1" spans="1:6">
      <c r="A34" s="453">
        <v>10</v>
      </c>
      <c r="B34" s="453" t="s">
        <v>675</v>
      </c>
      <c r="C34" s="453" t="s">
        <v>673</v>
      </c>
      <c r="D34" s="454" t="s">
        <v>676</v>
      </c>
      <c r="E34" s="455">
        <v>75</v>
      </c>
      <c r="F34" s="453" t="s">
        <v>653</v>
      </c>
    </row>
    <row r="35" ht="43.5" customHeight="1" spans="1:6">
      <c r="A35" s="453">
        <v>11</v>
      </c>
      <c r="B35" s="453" t="s">
        <v>677</v>
      </c>
      <c r="C35" s="453" t="s">
        <v>673</v>
      </c>
      <c r="D35" s="454" t="s">
        <v>678</v>
      </c>
      <c r="E35" s="455">
        <v>191</v>
      </c>
      <c r="F35" s="453" t="s">
        <v>653</v>
      </c>
    </row>
    <row r="36" ht="63" customHeight="1" spans="1:6">
      <c r="A36" s="453">
        <v>12</v>
      </c>
      <c r="B36" s="453" t="s">
        <v>679</v>
      </c>
      <c r="C36" s="453" t="s">
        <v>673</v>
      </c>
      <c r="D36" s="454" t="s">
        <v>680</v>
      </c>
      <c r="E36" s="455">
        <v>960</v>
      </c>
      <c r="F36" s="453" t="s">
        <v>653</v>
      </c>
    </row>
    <row r="37" ht="73.5" customHeight="1" spans="1:6">
      <c r="A37" s="453">
        <v>13</v>
      </c>
      <c r="B37" s="453" t="s">
        <v>681</v>
      </c>
      <c r="C37" s="453" t="s">
        <v>673</v>
      </c>
      <c r="D37" s="454" t="s">
        <v>682</v>
      </c>
      <c r="E37" s="455">
        <v>447.432</v>
      </c>
      <c r="F37" s="453" t="s">
        <v>653</v>
      </c>
    </row>
    <row r="38" ht="43.5" customHeight="1" spans="1:6">
      <c r="A38" s="453">
        <v>14</v>
      </c>
      <c r="B38" s="453" t="s">
        <v>683</v>
      </c>
      <c r="C38" s="453" t="s">
        <v>673</v>
      </c>
      <c r="D38" s="454" t="s">
        <v>684</v>
      </c>
      <c r="E38" s="455">
        <v>946</v>
      </c>
      <c r="F38" s="453" t="s">
        <v>653</v>
      </c>
    </row>
    <row r="39" ht="54.95" customHeight="1" spans="1:6">
      <c r="A39" s="453">
        <v>15</v>
      </c>
      <c r="B39" s="453" t="s">
        <v>685</v>
      </c>
      <c r="C39" s="453" t="s">
        <v>673</v>
      </c>
      <c r="D39" s="454" t="s">
        <v>686</v>
      </c>
      <c r="E39" s="455">
        <v>70554</v>
      </c>
      <c r="F39" s="453" t="s">
        <v>653</v>
      </c>
    </row>
    <row r="40" ht="59.1" customHeight="1" spans="1:6">
      <c r="A40" s="453">
        <v>16</v>
      </c>
      <c r="B40" s="453" t="s">
        <v>687</v>
      </c>
      <c r="C40" s="453" t="s">
        <v>673</v>
      </c>
      <c r="D40" s="454" t="s">
        <v>688</v>
      </c>
      <c r="E40" s="455">
        <v>100886</v>
      </c>
      <c r="F40" s="453" t="s">
        <v>653</v>
      </c>
    </row>
    <row r="41" ht="43.5" customHeight="1" spans="1:6">
      <c r="A41" s="453">
        <v>17</v>
      </c>
      <c r="B41" s="453" t="s">
        <v>689</v>
      </c>
      <c r="C41" s="453" t="s">
        <v>673</v>
      </c>
      <c r="D41" s="454" t="s">
        <v>690</v>
      </c>
      <c r="E41" s="455">
        <v>27040</v>
      </c>
      <c r="F41" s="453" t="s">
        <v>653</v>
      </c>
    </row>
    <row r="42" ht="43.5" customHeight="1" spans="1:6">
      <c r="A42" s="453">
        <v>18</v>
      </c>
      <c r="B42" s="453" t="s">
        <v>691</v>
      </c>
      <c r="C42" s="453" t="s">
        <v>673</v>
      </c>
      <c r="D42" s="454" t="s">
        <v>692</v>
      </c>
      <c r="E42" s="455">
        <v>100</v>
      </c>
      <c r="F42" s="453" t="s">
        <v>658</v>
      </c>
    </row>
    <row r="43" ht="66.75" customHeight="1" spans="1:6">
      <c r="A43" s="453">
        <v>19</v>
      </c>
      <c r="B43" s="453" t="s">
        <v>693</v>
      </c>
      <c r="C43" s="453" t="s">
        <v>673</v>
      </c>
      <c r="D43" s="454" t="s">
        <v>694</v>
      </c>
      <c r="E43" s="455">
        <v>17.35</v>
      </c>
      <c r="F43" s="453" t="s">
        <v>658</v>
      </c>
    </row>
    <row r="44" ht="66.75" customHeight="1" spans="1:6">
      <c r="A44" s="453">
        <v>20</v>
      </c>
      <c r="B44" s="453" t="s">
        <v>695</v>
      </c>
      <c r="C44" s="453" t="s">
        <v>673</v>
      </c>
      <c r="D44" s="454" t="s">
        <v>696</v>
      </c>
      <c r="E44" s="455">
        <v>1907.71</v>
      </c>
      <c r="F44" s="453" t="s">
        <v>658</v>
      </c>
    </row>
    <row r="45" ht="66.75" customHeight="1" spans="1:6">
      <c r="A45" s="453">
        <v>21</v>
      </c>
      <c r="B45" s="453" t="s">
        <v>697</v>
      </c>
      <c r="C45" s="453" t="s">
        <v>673</v>
      </c>
      <c r="D45" s="454" t="s">
        <v>698</v>
      </c>
      <c r="E45" s="455">
        <v>5</v>
      </c>
      <c r="F45" s="453" t="s">
        <v>658</v>
      </c>
    </row>
    <row r="46" ht="69" customHeight="1" spans="1:6">
      <c r="A46" s="453">
        <v>22</v>
      </c>
      <c r="B46" s="453" t="s">
        <v>699</v>
      </c>
      <c r="C46" s="453" t="s">
        <v>673</v>
      </c>
      <c r="D46" s="454" t="s">
        <v>700</v>
      </c>
      <c r="E46" s="455">
        <v>36</v>
      </c>
      <c r="F46" s="453" t="s">
        <v>658</v>
      </c>
    </row>
    <row r="47" ht="60.75" spans="1:6">
      <c r="A47" s="453">
        <v>23</v>
      </c>
      <c r="B47" s="453" t="s">
        <v>701</v>
      </c>
      <c r="C47" s="453" t="s">
        <v>673</v>
      </c>
      <c r="D47" s="454" t="s">
        <v>702</v>
      </c>
      <c r="E47" s="455">
        <v>13185</v>
      </c>
      <c r="F47" s="453" t="s">
        <v>658</v>
      </c>
    </row>
    <row r="48" ht="66" customHeight="1" spans="1:6">
      <c r="A48" s="453">
        <v>24</v>
      </c>
      <c r="B48" s="453" t="s">
        <v>703</v>
      </c>
      <c r="C48" s="453" t="s">
        <v>673</v>
      </c>
      <c r="D48" s="454" t="s">
        <v>704</v>
      </c>
      <c r="E48" s="455">
        <v>34518</v>
      </c>
      <c r="F48" s="453" t="s">
        <v>658</v>
      </c>
    </row>
    <row r="49" ht="54" customHeight="1" spans="1:7">
      <c r="A49" s="453">
        <v>25</v>
      </c>
      <c r="B49" s="453" t="s">
        <v>705</v>
      </c>
      <c r="C49" s="453" t="s">
        <v>673</v>
      </c>
      <c r="D49" s="454" t="s">
        <v>706</v>
      </c>
      <c r="E49" s="455">
        <v>32.1075</v>
      </c>
      <c r="F49" s="453" t="s">
        <v>658</v>
      </c>
    </row>
    <row r="50" ht="54" customHeight="1" spans="1:7">
      <c r="A50" s="453">
        <v>26</v>
      </c>
      <c r="B50" s="453" t="s">
        <v>707</v>
      </c>
      <c r="C50" s="453" t="s">
        <v>673</v>
      </c>
      <c r="D50" s="454" t="s">
        <v>708</v>
      </c>
      <c r="E50" s="455">
        <v>106.5</v>
      </c>
      <c r="F50" s="453" t="s">
        <v>658</v>
      </c>
    </row>
    <row r="51" ht="65.25" customHeight="1" spans="1:7">
      <c r="A51" s="453">
        <v>27</v>
      </c>
      <c r="B51" s="453" t="s">
        <v>709</v>
      </c>
      <c r="C51" s="453" t="s">
        <v>673</v>
      </c>
      <c r="D51" s="454" t="s">
        <v>710</v>
      </c>
      <c r="E51" s="455">
        <v>268.4</v>
      </c>
      <c r="F51" s="453" t="s">
        <v>658</v>
      </c>
    </row>
    <row r="52" ht="54" customHeight="1" spans="1:7">
      <c r="A52" s="453">
        <v>28</v>
      </c>
      <c r="B52" s="453" t="s">
        <v>711</v>
      </c>
      <c r="C52" s="453" t="s">
        <v>673</v>
      </c>
      <c r="D52" s="454" t="s">
        <v>712</v>
      </c>
      <c r="E52" s="455">
        <v>334.2</v>
      </c>
      <c r="F52" s="453" t="s">
        <v>658</v>
      </c>
    </row>
    <row r="53" ht="72" customHeight="1" spans="1:7">
      <c r="A53" s="453">
        <v>29</v>
      </c>
      <c r="B53" s="453" t="s">
        <v>713</v>
      </c>
      <c r="C53" s="453" t="s">
        <v>673</v>
      </c>
      <c r="D53" s="454" t="s">
        <v>714</v>
      </c>
      <c r="E53" s="455">
        <v>400</v>
      </c>
      <c r="F53" s="453" t="s">
        <v>658</v>
      </c>
    </row>
    <row r="54" ht="76.5" customHeight="1" spans="1:7">
      <c r="A54" s="453">
        <v>30</v>
      </c>
      <c r="B54" s="453" t="s">
        <v>715</v>
      </c>
      <c r="C54" s="453" t="s">
        <v>673</v>
      </c>
      <c r="D54" s="454" t="s">
        <v>716</v>
      </c>
      <c r="E54" s="455">
        <v>40</v>
      </c>
      <c r="F54" s="453" t="s">
        <v>658</v>
      </c>
    </row>
    <row r="55" ht="43.5" customHeight="1" spans="1:7">
      <c r="A55" s="453">
        <v>31</v>
      </c>
      <c r="B55" s="453" t="s">
        <v>717</v>
      </c>
      <c r="C55" s="453" t="s">
        <v>673</v>
      </c>
      <c r="D55" s="454" t="s">
        <v>718</v>
      </c>
      <c r="E55" s="455">
        <v>76500</v>
      </c>
      <c r="F55" s="453" t="s">
        <v>653</v>
      </c>
    </row>
    <row r="56" ht="78" customHeight="1" spans="1:7">
      <c r="A56" s="453">
        <v>32</v>
      </c>
      <c r="B56" s="453" t="s">
        <v>719</v>
      </c>
      <c r="C56" s="453" t="s">
        <v>673</v>
      </c>
      <c r="D56" s="454" t="s">
        <v>720</v>
      </c>
      <c r="E56" s="455">
        <v>780</v>
      </c>
      <c r="F56" s="453" t="s">
        <v>658</v>
      </c>
    </row>
    <row r="57" ht="78" customHeight="1" spans="1:7">
      <c r="A57" s="453">
        <v>33</v>
      </c>
      <c r="B57" s="453" t="s">
        <v>721</v>
      </c>
      <c r="C57" s="453" t="s">
        <v>673</v>
      </c>
      <c r="D57" s="454" t="s">
        <v>722</v>
      </c>
      <c r="E57" s="455">
        <v>147207</v>
      </c>
      <c r="F57" s="453" t="s">
        <v>658</v>
      </c>
    </row>
    <row r="58" ht="78" customHeight="1" spans="1:7">
      <c r="A58" s="453">
        <v>34</v>
      </c>
      <c r="B58" s="453" t="s">
        <v>723</v>
      </c>
      <c r="C58" s="453" t="s">
        <v>673</v>
      </c>
      <c r="D58" s="454" t="s">
        <v>698</v>
      </c>
      <c r="E58" s="455">
        <v>92</v>
      </c>
      <c r="F58" s="453" t="s">
        <v>658</v>
      </c>
    </row>
    <row r="59" ht="78" customHeight="1" spans="1:7">
      <c r="A59" s="453">
        <v>35</v>
      </c>
      <c r="B59" s="453" t="s">
        <v>724</v>
      </c>
      <c r="C59" s="453" t="s">
        <v>673</v>
      </c>
      <c r="D59" s="454" t="s">
        <v>725</v>
      </c>
      <c r="E59" s="455">
        <v>2.4</v>
      </c>
      <c r="F59" s="453" t="s">
        <v>658</v>
      </c>
    </row>
    <row r="60" ht="78" customHeight="1" spans="1:7">
      <c r="A60" s="453">
        <v>36</v>
      </c>
      <c r="B60" s="453" t="s">
        <v>726</v>
      </c>
      <c r="C60" s="453" t="s">
        <v>673</v>
      </c>
      <c r="D60" s="454" t="s">
        <v>727</v>
      </c>
      <c r="E60" s="455">
        <v>6</v>
      </c>
      <c r="F60" s="453" t="s">
        <v>658</v>
      </c>
    </row>
    <row r="61" ht="77.25" customHeight="1" spans="1:7">
      <c r="A61" s="453">
        <v>37</v>
      </c>
      <c r="B61" s="453" t="s">
        <v>728</v>
      </c>
      <c r="C61" s="453" t="s">
        <v>673</v>
      </c>
      <c r="D61" s="454" t="s">
        <v>729</v>
      </c>
      <c r="E61" s="455">
        <v>30</v>
      </c>
      <c r="F61" s="453" t="s">
        <v>730</v>
      </c>
    </row>
    <row r="62" ht="77.25" customHeight="1" spans="1:7">
      <c r="A62" s="453">
        <v>38</v>
      </c>
      <c r="B62" s="453" t="s">
        <v>731</v>
      </c>
      <c r="C62" s="453" t="s">
        <v>673</v>
      </c>
      <c r="D62" s="454" t="s">
        <v>732</v>
      </c>
      <c r="E62" s="455">
        <v>827.66</v>
      </c>
      <c r="F62" s="453" t="s">
        <v>658</v>
      </c>
    </row>
    <row r="63" ht="77.25" customHeight="1" spans="1:7">
      <c r="A63" s="453">
        <v>39</v>
      </c>
      <c r="B63" s="453" t="s">
        <v>733</v>
      </c>
      <c r="C63" s="453" t="s">
        <v>673</v>
      </c>
      <c r="D63" s="454" t="s">
        <v>734</v>
      </c>
      <c r="E63" s="455">
        <v>40</v>
      </c>
      <c r="F63" s="453" t="s">
        <v>735</v>
      </c>
      <c r="G63" s="411" t="s">
        <v>736</v>
      </c>
    </row>
    <row r="64" ht="77.25" customHeight="1" spans="1:7">
      <c r="A64" s="453">
        <v>40</v>
      </c>
      <c r="B64" s="453" t="s">
        <v>737</v>
      </c>
      <c r="C64" s="453" t="s">
        <v>673</v>
      </c>
      <c r="D64" s="454" t="s">
        <v>738</v>
      </c>
      <c r="E64" s="455">
        <v>96.284</v>
      </c>
      <c r="F64" s="453" t="s">
        <v>739</v>
      </c>
      <c r="G64" s="411" t="s">
        <v>740</v>
      </c>
    </row>
    <row r="65" s="408" customFormat="1" ht="43.5" customHeight="1" spans="1:7">
      <c r="A65" s="448"/>
      <c r="B65" s="448"/>
      <c r="C65" s="448" t="s">
        <v>741</v>
      </c>
      <c r="D65" s="446"/>
      <c r="E65" s="452">
        <f>SUM(E33:E64)</f>
        <v>477698.9435</v>
      </c>
      <c r="F65" s="448"/>
      <c r="G65" s="411"/>
    </row>
    <row r="66" ht="53.25" customHeight="1" spans="1:7">
      <c r="A66" s="453">
        <v>40</v>
      </c>
      <c r="B66" s="453" t="s">
        <v>742</v>
      </c>
      <c r="C66" s="453" t="s">
        <v>743</v>
      </c>
      <c r="D66" s="454" t="s">
        <v>744</v>
      </c>
      <c r="E66" s="455">
        <v>40</v>
      </c>
      <c r="F66" s="453" t="s">
        <v>658</v>
      </c>
    </row>
    <row r="67" ht="75" customHeight="1" spans="1:7">
      <c r="A67" s="453">
        <v>41</v>
      </c>
      <c r="B67" s="453" t="s">
        <v>745</v>
      </c>
      <c r="C67" s="453" t="s">
        <v>743</v>
      </c>
      <c r="D67" s="454" t="s">
        <v>746</v>
      </c>
      <c r="E67" s="455">
        <v>3020</v>
      </c>
      <c r="F67" s="453" t="s">
        <v>658</v>
      </c>
    </row>
    <row r="68" ht="75" customHeight="1" spans="1:7">
      <c r="A68" s="453">
        <v>42</v>
      </c>
      <c r="B68" s="453" t="s">
        <v>747</v>
      </c>
      <c r="C68" s="453" t="s">
        <v>743</v>
      </c>
      <c r="D68" s="454" t="s">
        <v>748</v>
      </c>
      <c r="E68" s="455">
        <v>267.95</v>
      </c>
      <c r="F68" s="453" t="s">
        <v>658</v>
      </c>
    </row>
    <row r="69" ht="54" customHeight="1" spans="1:7">
      <c r="A69" s="453">
        <v>43</v>
      </c>
      <c r="B69" s="453" t="s">
        <v>749</v>
      </c>
      <c r="C69" s="453" t="s">
        <v>743</v>
      </c>
      <c r="D69" s="454" t="s">
        <v>750</v>
      </c>
      <c r="E69" s="455">
        <v>20</v>
      </c>
      <c r="F69" s="453" t="s">
        <v>658</v>
      </c>
    </row>
    <row r="70" ht="54" customHeight="1" spans="1:7">
      <c r="A70" s="453">
        <v>44</v>
      </c>
      <c r="B70" s="453" t="s">
        <v>751</v>
      </c>
      <c r="C70" s="453" t="s">
        <v>743</v>
      </c>
      <c r="D70" s="454" t="s">
        <v>752</v>
      </c>
      <c r="E70" s="455">
        <v>60</v>
      </c>
      <c r="F70" s="453" t="s">
        <v>658</v>
      </c>
    </row>
    <row r="71" ht="69" customHeight="1" spans="1:7">
      <c r="A71" s="453">
        <v>45</v>
      </c>
      <c r="B71" s="453" t="s">
        <v>753</v>
      </c>
      <c r="C71" s="453" t="s">
        <v>743</v>
      </c>
      <c r="D71" s="454" t="s">
        <v>754</v>
      </c>
      <c r="E71" s="455">
        <v>20</v>
      </c>
      <c r="F71" s="453" t="s">
        <v>658</v>
      </c>
    </row>
    <row r="72" ht="69" customHeight="1" spans="1:7">
      <c r="A72" s="453">
        <v>46</v>
      </c>
      <c r="B72" s="453" t="s">
        <v>755</v>
      </c>
      <c r="C72" s="453" t="s">
        <v>743</v>
      </c>
      <c r="D72" s="454" t="s">
        <v>750</v>
      </c>
      <c r="E72" s="455">
        <v>10</v>
      </c>
      <c r="F72" s="453" t="s">
        <v>658</v>
      </c>
      <c r="G72" s="411" t="s">
        <v>756</v>
      </c>
    </row>
    <row r="73" s="408" customFormat="1" ht="43.5" customHeight="1" spans="1:7">
      <c r="A73" s="448"/>
      <c r="B73" s="448"/>
      <c r="C73" s="448" t="s">
        <v>757</v>
      </c>
      <c r="D73" s="446"/>
      <c r="E73" s="452">
        <f>SUM(E66:E72)</f>
        <v>3437.95</v>
      </c>
      <c r="F73" s="448"/>
      <c r="G73" s="411"/>
    </row>
    <row r="74" ht="66.95" customHeight="1" spans="1:7">
      <c r="A74" s="453">
        <v>47</v>
      </c>
      <c r="B74" s="453" t="s">
        <v>758</v>
      </c>
      <c r="C74" s="453" t="s">
        <v>759</v>
      </c>
      <c r="D74" s="454" t="s">
        <v>760</v>
      </c>
      <c r="E74" s="455">
        <v>20</v>
      </c>
      <c r="F74" s="453" t="s">
        <v>653</v>
      </c>
    </row>
    <row r="75" ht="55.5" customHeight="1" spans="1:7">
      <c r="A75" s="453">
        <v>48</v>
      </c>
      <c r="B75" s="453" t="s">
        <v>761</v>
      </c>
      <c r="C75" s="453" t="s">
        <v>759</v>
      </c>
      <c r="D75" s="454" t="s">
        <v>762</v>
      </c>
      <c r="E75" s="455">
        <v>50</v>
      </c>
      <c r="F75" s="453" t="s">
        <v>658</v>
      </c>
    </row>
    <row r="76" ht="55.5" customHeight="1" spans="1:7">
      <c r="A76" s="453">
        <v>49</v>
      </c>
      <c r="B76" s="453" t="s">
        <v>763</v>
      </c>
      <c r="C76" s="453" t="s">
        <v>759</v>
      </c>
      <c r="D76" s="454" t="s">
        <v>764</v>
      </c>
      <c r="E76" s="455">
        <v>106</v>
      </c>
      <c r="F76" s="453" t="s">
        <v>658</v>
      </c>
    </row>
    <row r="77" ht="63.95" customHeight="1" spans="1:7">
      <c r="A77" s="453">
        <v>50</v>
      </c>
      <c r="B77" s="453" t="s">
        <v>765</v>
      </c>
      <c r="C77" s="453" t="s">
        <v>759</v>
      </c>
      <c r="D77" s="454" t="s">
        <v>766</v>
      </c>
      <c r="E77" s="455">
        <v>3</v>
      </c>
      <c r="F77" s="453" t="s">
        <v>658</v>
      </c>
    </row>
    <row r="78" ht="79.5" customHeight="1" spans="1:7">
      <c r="A78" s="453">
        <v>51</v>
      </c>
      <c r="B78" s="453" t="s">
        <v>767</v>
      </c>
      <c r="C78" s="453" t="s">
        <v>759</v>
      </c>
      <c r="D78" s="454" t="s">
        <v>768</v>
      </c>
      <c r="E78" s="455">
        <v>40</v>
      </c>
      <c r="F78" s="453" t="s">
        <v>658</v>
      </c>
    </row>
    <row r="79" ht="79.5" customHeight="1" spans="1:7">
      <c r="A79" s="453">
        <v>52</v>
      </c>
      <c r="B79" s="453" t="s">
        <v>769</v>
      </c>
      <c r="C79" s="453" t="s">
        <v>759</v>
      </c>
      <c r="D79" s="454" t="s">
        <v>770</v>
      </c>
      <c r="E79" s="455">
        <v>73</v>
      </c>
      <c r="F79" s="453" t="s">
        <v>771</v>
      </c>
    </row>
    <row r="80" ht="75.75" customHeight="1" spans="1:7">
      <c r="A80" s="453">
        <v>53</v>
      </c>
      <c r="B80" s="453" t="s">
        <v>772</v>
      </c>
      <c r="C80" s="453" t="s">
        <v>759</v>
      </c>
      <c r="D80" s="454" t="s">
        <v>773</v>
      </c>
      <c r="E80" s="455">
        <v>68</v>
      </c>
      <c r="F80" s="453" t="s">
        <v>774</v>
      </c>
    </row>
    <row r="81" ht="75.75" customHeight="1" spans="1:7">
      <c r="A81" s="453">
        <v>54</v>
      </c>
      <c r="B81" s="453" t="s">
        <v>775</v>
      </c>
      <c r="C81" s="453" t="s">
        <v>759</v>
      </c>
      <c r="D81" s="454" t="s">
        <v>776</v>
      </c>
      <c r="E81" s="455">
        <v>46</v>
      </c>
      <c r="F81" s="453" t="s">
        <v>777</v>
      </c>
      <c r="G81" s="411" t="s">
        <v>778</v>
      </c>
    </row>
    <row r="82" s="408" customFormat="1" ht="69" customHeight="1" spans="1:7">
      <c r="A82" s="448"/>
      <c r="B82" s="448"/>
      <c r="C82" s="448" t="s">
        <v>779</v>
      </c>
      <c r="D82" s="446"/>
      <c r="E82" s="452">
        <f>SUM(E74:E81)</f>
        <v>406</v>
      </c>
      <c r="F82" s="448"/>
      <c r="G82" s="411"/>
    </row>
    <row r="83" ht="54" customHeight="1" spans="1:7">
      <c r="A83" s="453">
        <v>55</v>
      </c>
      <c r="B83" s="453" t="s">
        <v>780</v>
      </c>
      <c r="C83" s="453" t="s">
        <v>781</v>
      </c>
      <c r="D83" s="454" t="s">
        <v>782</v>
      </c>
      <c r="E83" s="455">
        <v>364.21</v>
      </c>
      <c r="F83" s="453" t="s">
        <v>658</v>
      </c>
    </row>
    <row r="84" ht="54" customHeight="1" spans="1:7">
      <c r="A84" s="453">
        <v>56</v>
      </c>
      <c r="B84" s="453" t="s">
        <v>783</v>
      </c>
      <c r="C84" s="453" t="s">
        <v>781</v>
      </c>
      <c r="D84" s="454" t="s">
        <v>784</v>
      </c>
      <c r="E84" s="455">
        <v>137.7</v>
      </c>
      <c r="F84" s="453" t="s">
        <v>653</v>
      </c>
    </row>
    <row r="85" ht="54" customHeight="1" spans="1:7">
      <c r="A85" s="453">
        <v>57</v>
      </c>
      <c r="B85" s="453" t="s">
        <v>785</v>
      </c>
      <c r="C85" s="453" t="s">
        <v>781</v>
      </c>
      <c r="D85" s="454" t="s">
        <v>786</v>
      </c>
      <c r="E85" s="455">
        <v>80.6</v>
      </c>
      <c r="F85" s="453" t="s">
        <v>658</v>
      </c>
    </row>
    <row r="86" ht="54" customHeight="1" spans="1:7">
      <c r="A86" s="453">
        <v>58</v>
      </c>
      <c r="B86" s="453" t="s">
        <v>787</v>
      </c>
      <c r="C86" s="453" t="s">
        <v>781</v>
      </c>
      <c r="D86" s="454" t="s">
        <v>788</v>
      </c>
      <c r="E86" s="455">
        <v>14145</v>
      </c>
      <c r="F86" s="453" t="s">
        <v>653</v>
      </c>
    </row>
    <row r="87" ht="54" customHeight="1" spans="1:7">
      <c r="A87" s="453">
        <v>59</v>
      </c>
      <c r="B87" s="453" t="s">
        <v>789</v>
      </c>
      <c r="C87" s="453" t="s">
        <v>781</v>
      </c>
      <c r="D87" s="454" t="s">
        <v>790</v>
      </c>
      <c r="E87" s="455">
        <v>0.48</v>
      </c>
      <c r="F87" s="453" t="s">
        <v>658</v>
      </c>
    </row>
    <row r="88" ht="54" customHeight="1" spans="1:7">
      <c r="A88" s="453">
        <v>60</v>
      </c>
      <c r="B88" s="453" t="s">
        <v>791</v>
      </c>
      <c r="C88" s="453" t="s">
        <v>781</v>
      </c>
      <c r="D88" s="454" t="s">
        <v>792</v>
      </c>
      <c r="E88" s="455">
        <v>2.912</v>
      </c>
      <c r="F88" s="453" t="s">
        <v>653</v>
      </c>
    </row>
    <row r="89" ht="54" customHeight="1" spans="1:7">
      <c r="A89" s="453">
        <v>61</v>
      </c>
      <c r="B89" s="453" t="s">
        <v>793</v>
      </c>
      <c r="C89" s="453" t="s">
        <v>781</v>
      </c>
      <c r="D89" s="454" t="s">
        <v>794</v>
      </c>
      <c r="E89" s="455">
        <v>1124</v>
      </c>
      <c r="F89" s="453" t="s">
        <v>653</v>
      </c>
    </row>
    <row r="90" ht="69.75" customHeight="1" spans="1:7">
      <c r="A90" s="453">
        <v>62</v>
      </c>
      <c r="B90" s="453" t="s">
        <v>795</v>
      </c>
      <c r="C90" s="453" t="s">
        <v>781</v>
      </c>
      <c r="D90" s="454" t="s">
        <v>796</v>
      </c>
      <c r="E90" s="455">
        <v>868</v>
      </c>
      <c r="F90" s="453" t="s">
        <v>658</v>
      </c>
    </row>
    <row r="91" ht="54" customHeight="1" spans="1:7">
      <c r="A91" s="453">
        <v>63</v>
      </c>
      <c r="B91" s="453" t="s">
        <v>797</v>
      </c>
      <c r="C91" s="453" t="s">
        <v>781</v>
      </c>
      <c r="D91" s="454" t="s">
        <v>798</v>
      </c>
      <c r="E91" s="455">
        <v>6.85</v>
      </c>
      <c r="F91" s="453" t="s">
        <v>658</v>
      </c>
    </row>
    <row r="92" ht="54" customHeight="1" spans="1:7">
      <c r="A92" s="453">
        <v>64</v>
      </c>
      <c r="B92" s="453" t="s">
        <v>799</v>
      </c>
      <c r="C92" s="453" t="s">
        <v>781</v>
      </c>
      <c r="D92" s="454" t="s">
        <v>800</v>
      </c>
      <c r="E92" s="455">
        <v>21.43</v>
      </c>
      <c r="F92" s="453" t="s">
        <v>658</v>
      </c>
    </row>
    <row r="93" ht="54" customHeight="1" spans="1:7">
      <c r="A93" s="453">
        <v>65</v>
      </c>
      <c r="B93" s="453" t="s">
        <v>801</v>
      </c>
      <c r="C93" s="453" t="s">
        <v>781</v>
      </c>
      <c r="D93" s="454" t="s">
        <v>802</v>
      </c>
      <c r="E93" s="455">
        <v>16</v>
      </c>
      <c r="F93" s="453" t="s">
        <v>658</v>
      </c>
    </row>
    <row r="94" ht="54" customHeight="1" spans="1:7">
      <c r="A94" s="453">
        <v>66</v>
      </c>
      <c r="B94" s="453" t="s">
        <v>803</v>
      </c>
      <c r="C94" s="453" t="s">
        <v>781</v>
      </c>
      <c r="D94" s="454" t="s">
        <v>804</v>
      </c>
      <c r="E94" s="455">
        <v>4</v>
      </c>
      <c r="F94" s="453" t="s">
        <v>658</v>
      </c>
    </row>
    <row r="95" ht="54" customHeight="1" spans="1:7">
      <c r="A95" s="453">
        <v>67</v>
      </c>
      <c r="B95" s="453" t="s">
        <v>805</v>
      </c>
      <c r="C95" s="453" t="s">
        <v>781</v>
      </c>
      <c r="D95" s="454" t="s">
        <v>806</v>
      </c>
      <c r="E95" s="455">
        <v>93</v>
      </c>
      <c r="F95" s="453" t="s">
        <v>807</v>
      </c>
    </row>
    <row r="96" ht="54" customHeight="1" spans="1:7">
      <c r="A96" s="453">
        <v>68</v>
      </c>
      <c r="B96" s="453" t="s">
        <v>808</v>
      </c>
      <c r="C96" s="453" t="s">
        <v>781</v>
      </c>
      <c r="D96" s="454" t="s">
        <v>809</v>
      </c>
      <c r="E96" s="455">
        <v>18</v>
      </c>
      <c r="F96" s="453" t="s">
        <v>810</v>
      </c>
    </row>
    <row r="97" ht="76.5" customHeight="1" spans="1:7">
      <c r="A97" s="453">
        <v>69</v>
      </c>
      <c r="B97" s="453" t="s">
        <v>811</v>
      </c>
      <c r="C97" s="453" t="s">
        <v>781</v>
      </c>
      <c r="D97" s="454" t="s">
        <v>812</v>
      </c>
      <c r="E97" s="455">
        <v>80.6</v>
      </c>
      <c r="F97" s="453" t="s">
        <v>813</v>
      </c>
    </row>
    <row r="98" s="408" customFormat="1" ht="69" customHeight="1" spans="1:7">
      <c r="A98" s="453"/>
      <c r="B98" s="448"/>
      <c r="C98" s="448" t="s">
        <v>814</v>
      </c>
      <c r="D98" s="446"/>
      <c r="E98" s="452">
        <f>SUM(E83:E97)</f>
        <v>16962.782</v>
      </c>
      <c r="F98" s="448"/>
      <c r="G98" s="411"/>
    </row>
    <row r="99" ht="61.5" customHeight="1" spans="1:7">
      <c r="A99" s="453">
        <v>70</v>
      </c>
      <c r="B99" s="453" t="s">
        <v>815</v>
      </c>
      <c r="C99" s="453" t="s">
        <v>816</v>
      </c>
      <c r="D99" s="454" t="s">
        <v>817</v>
      </c>
      <c r="E99" s="455">
        <v>22.2</v>
      </c>
      <c r="F99" s="453" t="s">
        <v>658</v>
      </c>
    </row>
    <row r="100" ht="61.5" customHeight="1" spans="1:7">
      <c r="A100" s="453">
        <v>71</v>
      </c>
      <c r="B100" s="453" t="s">
        <v>818</v>
      </c>
      <c r="C100" s="453" t="s">
        <v>816</v>
      </c>
      <c r="D100" s="454" t="s">
        <v>819</v>
      </c>
      <c r="E100" s="455">
        <v>3978.2</v>
      </c>
      <c r="F100" s="453" t="s">
        <v>653</v>
      </c>
    </row>
    <row r="101" ht="61.5" customHeight="1" spans="1:7">
      <c r="A101" s="453">
        <v>72</v>
      </c>
      <c r="B101" s="453" t="s">
        <v>820</v>
      </c>
      <c r="C101" s="453" t="s">
        <v>816</v>
      </c>
      <c r="D101" s="454" t="s">
        <v>821</v>
      </c>
      <c r="E101" s="455">
        <v>286.1</v>
      </c>
      <c r="F101" s="453" t="s">
        <v>653</v>
      </c>
    </row>
    <row r="102" ht="61.5" customHeight="1" spans="1:7">
      <c r="A102" s="453">
        <v>73</v>
      </c>
      <c r="B102" s="453" t="s">
        <v>822</v>
      </c>
      <c r="C102" s="453" t="s">
        <v>816</v>
      </c>
      <c r="D102" s="454" t="s">
        <v>823</v>
      </c>
      <c r="E102" s="455">
        <v>2</v>
      </c>
      <c r="F102" s="453" t="s">
        <v>824</v>
      </c>
    </row>
    <row r="103" ht="61.5" customHeight="1" spans="1:7">
      <c r="A103" s="453">
        <v>74</v>
      </c>
      <c r="B103" s="453" t="s">
        <v>825</v>
      </c>
      <c r="C103" s="453" t="s">
        <v>816</v>
      </c>
      <c r="D103" s="454" t="s">
        <v>826</v>
      </c>
      <c r="E103" s="455">
        <v>357.4</v>
      </c>
      <c r="F103" s="453" t="s">
        <v>827</v>
      </c>
    </row>
    <row r="104" ht="61.5" customHeight="1" spans="1:7">
      <c r="A104" s="453">
        <v>75</v>
      </c>
      <c r="B104" s="453" t="s">
        <v>828</v>
      </c>
      <c r="C104" s="453" t="s">
        <v>816</v>
      </c>
      <c r="D104" s="454" t="s">
        <v>829</v>
      </c>
      <c r="E104" s="455">
        <v>1</v>
      </c>
      <c r="F104" s="453" t="s">
        <v>830</v>
      </c>
    </row>
    <row r="105" ht="61.5" customHeight="1" spans="1:7">
      <c r="A105" s="453">
        <v>76</v>
      </c>
      <c r="B105" s="453" t="s">
        <v>831</v>
      </c>
      <c r="C105" s="453" t="s">
        <v>816</v>
      </c>
      <c r="D105" s="454" t="s">
        <v>832</v>
      </c>
      <c r="E105" s="455">
        <v>240</v>
      </c>
      <c r="F105" s="453" t="s">
        <v>658</v>
      </c>
    </row>
    <row r="106" ht="61.5" customHeight="1" spans="1:7">
      <c r="A106" s="453">
        <v>77</v>
      </c>
      <c r="B106" s="453" t="s">
        <v>833</v>
      </c>
      <c r="C106" s="453" t="s">
        <v>816</v>
      </c>
      <c r="D106" s="454" t="s">
        <v>834</v>
      </c>
      <c r="E106" s="455">
        <v>170</v>
      </c>
      <c r="F106" s="453" t="s">
        <v>835</v>
      </c>
    </row>
    <row r="107" ht="61.5" customHeight="1" spans="1:7">
      <c r="A107" s="453">
        <v>78</v>
      </c>
      <c r="B107" s="453" t="s">
        <v>836</v>
      </c>
      <c r="C107" s="453" t="s">
        <v>816</v>
      </c>
      <c r="D107" s="454" t="s">
        <v>837</v>
      </c>
      <c r="E107" s="455">
        <v>1087.46</v>
      </c>
      <c r="F107" s="453" t="s">
        <v>658</v>
      </c>
    </row>
    <row r="108" ht="61.5" customHeight="1" spans="1:7">
      <c r="A108" s="453">
        <v>79</v>
      </c>
      <c r="B108" s="453" t="s">
        <v>838</v>
      </c>
      <c r="C108" s="453" t="s">
        <v>816</v>
      </c>
      <c r="D108" s="454" t="s">
        <v>839</v>
      </c>
      <c r="E108" s="455">
        <v>13</v>
      </c>
      <c r="F108" s="453" t="s">
        <v>840</v>
      </c>
    </row>
    <row r="109" ht="61.5" customHeight="1" spans="1:7">
      <c r="A109" s="453">
        <v>80</v>
      </c>
      <c r="B109" s="453" t="s">
        <v>841</v>
      </c>
      <c r="C109" s="453" t="s">
        <v>816</v>
      </c>
      <c r="D109" s="456" t="s">
        <v>842</v>
      </c>
      <c r="E109" s="455">
        <v>10</v>
      </c>
      <c r="F109" s="453" t="s">
        <v>658</v>
      </c>
    </row>
    <row r="110" ht="61.5" customHeight="1" spans="1:7">
      <c r="A110" s="453">
        <v>81</v>
      </c>
      <c r="B110" s="453" t="s">
        <v>843</v>
      </c>
      <c r="C110" s="453" t="s">
        <v>816</v>
      </c>
      <c r="D110" s="454" t="s">
        <v>844</v>
      </c>
      <c r="E110" s="455">
        <v>378.66</v>
      </c>
      <c r="F110" s="453" t="s">
        <v>845</v>
      </c>
    </row>
    <row r="111" ht="61.5" customHeight="1" spans="1:7">
      <c r="A111" s="453">
        <v>82</v>
      </c>
      <c r="B111" s="453" t="s">
        <v>846</v>
      </c>
      <c r="C111" s="453" t="s">
        <v>816</v>
      </c>
      <c r="D111" s="454" t="s">
        <v>847</v>
      </c>
      <c r="E111" s="455">
        <v>70</v>
      </c>
      <c r="F111" s="453" t="s">
        <v>658</v>
      </c>
    </row>
    <row r="112" ht="61.5" customHeight="1" spans="1:7">
      <c r="A112" s="453">
        <v>83</v>
      </c>
      <c r="B112" s="453" t="s">
        <v>848</v>
      </c>
      <c r="C112" s="453" t="s">
        <v>816</v>
      </c>
      <c r="D112" s="454" t="s">
        <v>849</v>
      </c>
      <c r="E112" s="455">
        <v>32.7</v>
      </c>
      <c r="F112" s="453" t="s">
        <v>850</v>
      </c>
    </row>
    <row r="113" ht="61.5" customHeight="1" spans="1:7">
      <c r="A113" s="453">
        <v>84</v>
      </c>
      <c r="B113" s="453" t="s">
        <v>851</v>
      </c>
      <c r="C113" s="453" t="s">
        <v>816</v>
      </c>
      <c r="D113" s="454" t="s">
        <v>852</v>
      </c>
      <c r="E113" s="455">
        <v>47</v>
      </c>
      <c r="F113" s="453" t="s">
        <v>658</v>
      </c>
    </row>
    <row r="114" s="408" customFormat="1" ht="66.75" customHeight="1" spans="1:7">
      <c r="A114" s="448"/>
      <c r="B114" s="448"/>
      <c r="C114" s="448" t="s">
        <v>853</v>
      </c>
      <c r="D114" s="446"/>
      <c r="E114" s="452">
        <f>SUM(E99:E113)</f>
        <v>6695.72</v>
      </c>
      <c r="F114" s="448"/>
      <c r="G114" s="411"/>
    </row>
    <row r="115" ht="66" customHeight="1" spans="1:7">
      <c r="A115" s="453">
        <v>85</v>
      </c>
      <c r="B115" s="453" t="s">
        <v>854</v>
      </c>
      <c r="C115" s="453" t="s">
        <v>855</v>
      </c>
      <c r="D115" s="454" t="s">
        <v>856</v>
      </c>
      <c r="E115" s="455">
        <v>6625</v>
      </c>
      <c r="F115" s="453" t="s">
        <v>653</v>
      </c>
    </row>
    <row r="116" ht="43.5" customHeight="1" spans="1:7">
      <c r="A116" s="453">
        <v>86</v>
      </c>
      <c r="B116" s="453" t="s">
        <v>857</v>
      </c>
      <c r="C116" s="453" t="s">
        <v>855</v>
      </c>
      <c r="D116" s="454" t="s">
        <v>858</v>
      </c>
      <c r="E116" s="455">
        <v>2000</v>
      </c>
      <c r="F116" s="453" t="s">
        <v>658</v>
      </c>
    </row>
    <row r="117" ht="43.5" customHeight="1" spans="1:7">
      <c r="A117" s="453">
        <v>87</v>
      </c>
      <c r="B117" s="453" t="s">
        <v>859</v>
      </c>
      <c r="C117" s="453" t="s">
        <v>855</v>
      </c>
      <c r="D117" s="454" t="s">
        <v>860</v>
      </c>
      <c r="E117" s="455">
        <v>2000</v>
      </c>
      <c r="F117" s="453" t="s">
        <v>658</v>
      </c>
    </row>
    <row r="118" s="408" customFormat="1" ht="43.5" customHeight="1" spans="1:7">
      <c r="A118" s="448"/>
      <c r="B118" s="448"/>
      <c r="C118" s="448" t="s">
        <v>861</v>
      </c>
      <c r="D118" s="446"/>
      <c r="E118" s="452">
        <f>SUM(E115:E117)</f>
        <v>10625</v>
      </c>
      <c r="F118" s="448"/>
      <c r="G118" s="411"/>
    </row>
    <row r="119" s="408" customFormat="1" ht="43.5" customHeight="1" spans="1:7">
      <c r="A119" s="453">
        <v>88</v>
      </c>
      <c r="B119" s="453" t="s">
        <v>862</v>
      </c>
      <c r="C119" s="453" t="s">
        <v>863</v>
      </c>
      <c r="D119" s="454" t="s">
        <v>864</v>
      </c>
      <c r="E119" s="455">
        <v>1002</v>
      </c>
      <c r="F119" s="453" t="s">
        <v>865</v>
      </c>
      <c r="G119" s="411"/>
    </row>
    <row r="120" s="408" customFormat="1" ht="43.5" customHeight="1" spans="1:7">
      <c r="A120" s="453">
        <v>89</v>
      </c>
      <c r="B120" s="453" t="s">
        <v>866</v>
      </c>
      <c r="C120" s="453" t="s">
        <v>863</v>
      </c>
      <c r="D120" s="454" t="s">
        <v>867</v>
      </c>
      <c r="E120" s="455">
        <v>320</v>
      </c>
      <c r="F120" s="453" t="s">
        <v>868</v>
      </c>
      <c r="G120" s="411"/>
    </row>
    <row r="121" s="408" customFormat="1" ht="43.5" customHeight="1" spans="1:7">
      <c r="A121" s="453">
        <v>90</v>
      </c>
      <c r="B121" s="453" t="s">
        <v>869</v>
      </c>
      <c r="C121" s="453" t="s">
        <v>863</v>
      </c>
      <c r="D121" s="454" t="s">
        <v>870</v>
      </c>
      <c r="E121" s="455">
        <v>91</v>
      </c>
      <c r="F121" s="453" t="s">
        <v>871</v>
      </c>
      <c r="G121" s="411"/>
    </row>
    <row r="122" s="408" customFormat="1" ht="43.5" customHeight="1" spans="1:7">
      <c r="A122" s="453">
        <v>91</v>
      </c>
      <c r="B122" s="453" t="s">
        <v>872</v>
      </c>
      <c r="C122" s="453" t="s">
        <v>863</v>
      </c>
      <c r="D122" s="454" t="s">
        <v>873</v>
      </c>
      <c r="E122" s="455">
        <v>3984</v>
      </c>
      <c r="F122" s="453" t="s">
        <v>874</v>
      </c>
      <c r="G122" s="411"/>
    </row>
    <row r="123" ht="47.25" customHeight="1" spans="1:7">
      <c r="A123" s="453">
        <v>92</v>
      </c>
      <c r="B123" s="453" t="s">
        <v>875</v>
      </c>
      <c r="C123" s="453" t="s">
        <v>863</v>
      </c>
      <c r="D123" s="454" t="s">
        <v>876</v>
      </c>
      <c r="E123" s="455">
        <v>1056</v>
      </c>
      <c r="F123" s="453" t="s">
        <v>877</v>
      </c>
    </row>
    <row r="124" ht="60" customHeight="1" spans="1:7">
      <c r="A124" s="453">
        <v>93</v>
      </c>
      <c r="B124" s="453" t="s">
        <v>878</v>
      </c>
      <c r="C124" s="453" t="s">
        <v>863</v>
      </c>
      <c r="D124" s="454" t="s">
        <v>879</v>
      </c>
      <c r="E124" s="455">
        <v>533</v>
      </c>
      <c r="F124" s="453" t="s">
        <v>658</v>
      </c>
    </row>
    <row r="125" s="408" customFormat="1" ht="43.5" customHeight="1" spans="1:7">
      <c r="A125" s="448"/>
      <c r="B125" s="448"/>
      <c r="C125" s="448" t="s">
        <v>880</v>
      </c>
      <c r="D125" s="446"/>
      <c r="E125" s="452">
        <f>SUM(E119:E124)</f>
        <v>6986</v>
      </c>
      <c r="F125" s="448"/>
      <c r="G125" s="411"/>
    </row>
    <row r="126" ht="43.5" customHeight="1" spans="1:7">
      <c r="A126" s="453">
        <v>94</v>
      </c>
      <c r="B126" s="453" t="s">
        <v>881</v>
      </c>
      <c r="C126" s="453" t="s">
        <v>882</v>
      </c>
      <c r="D126" s="454" t="s">
        <v>883</v>
      </c>
      <c r="E126" s="455">
        <v>48000</v>
      </c>
      <c r="F126" s="453" t="s">
        <v>653</v>
      </c>
    </row>
    <row r="127" ht="61.5" customHeight="1" spans="1:7">
      <c r="A127" s="453">
        <v>95</v>
      </c>
      <c r="B127" s="453" t="s">
        <v>884</v>
      </c>
      <c r="C127" s="453" t="s">
        <v>882</v>
      </c>
      <c r="D127" s="454" t="s">
        <v>885</v>
      </c>
      <c r="E127" s="455">
        <v>24200</v>
      </c>
      <c r="F127" s="453" t="s">
        <v>653</v>
      </c>
    </row>
    <row r="128" ht="51.75" customHeight="1" spans="1:7">
      <c r="A128" s="453">
        <v>96</v>
      </c>
      <c r="B128" s="453" t="s">
        <v>886</v>
      </c>
      <c r="C128" s="453" t="s">
        <v>882</v>
      </c>
      <c r="D128" s="454" t="s">
        <v>887</v>
      </c>
      <c r="E128" s="455">
        <v>10000</v>
      </c>
      <c r="F128" s="453" t="s">
        <v>653</v>
      </c>
    </row>
    <row r="129" ht="60.75" customHeight="1" spans="1:7">
      <c r="A129" s="453">
        <v>97</v>
      </c>
      <c r="B129" s="453" t="s">
        <v>888</v>
      </c>
      <c r="C129" s="453" t="s">
        <v>882</v>
      </c>
      <c r="D129" s="454" t="s">
        <v>889</v>
      </c>
      <c r="E129" s="455">
        <v>558.88</v>
      </c>
      <c r="F129" s="453" t="s">
        <v>890</v>
      </c>
    </row>
    <row r="130" ht="60.75" customHeight="1" spans="1:7">
      <c r="A130" s="453">
        <v>98</v>
      </c>
      <c r="B130" s="453" t="s">
        <v>891</v>
      </c>
      <c r="C130" s="453" t="s">
        <v>882</v>
      </c>
      <c r="D130" s="454" t="s">
        <v>892</v>
      </c>
      <c r="E130" s="455">
        <v>437.0814</v>
      </c>
      <c r="F130" s="453" t="s">
        <v>893</v>
      </c>
    </row>
    <row r="131" ht="60.75" customHeight="1" spans="1:7">
      <c r="A131" s="453">
        <v>99</v>
      </c>
      <c r="B131" s="453" t="s">
        <v>894</v>
      </c>
      <c r="C131" s="453" t="s">
        <v>882</v>
      </c>
      <c r="D131" s="454" t="s">
        <v>895</v>
      </c>
      <c r="E131" s="455">
        <v>2069.71</v>
      </c>
      <c r="F131" s="453" t="s">
        <v>896</v>
      </c>
    </row>
    <row r="132" ht="62.25" customHeight="1" spans="1:7">
      <c r="A132" s="453">
        <v>100</v>
      </c>
      <c r="B132" s="453" t="s">
        <v>897</v>
      </c>
      <c r="C132" s="453" t="s">
        <v>882</v>
      </c>
      <c r="D132" s="454" t="s">
        <v>898</v>
      </c>
      <c r="E132" s="455">
        <v>60</v>
      </c>
      <c r="F132" s="453" t="s">
        <v>658</v>
      </c>
    </row>
    <row r="133" s="408" customFormat="1" ht="43.5" customHeight="1" spans="1:7">
      <c r="A133" s="448"/>
      <c r="B133" s="448"/>
      <c r="C133" s="448" t="s">
        <v>899</v>
      </c>
      <c r="D133" s="446"/>
      <c r="E133" s="452">
        <f>SUM(E126:E132)</f>
        <v>85325.6714</v>
      </c>
      <c r="F133" s="448"/>
      <c r="G133" s="411"/>
    </row>
    <row r="134" ht="84.95" customHeight="1" spans="1:7">
      <c r="A134" s="453">
        <v>101</v>
      </c>
      <c r="B134" s="453" t="s">
        <v>900</v>
      </c>
      <c r="C134" s="453" t="s">
        <v>901</v>
      </c>
      <c r="D134" s="454" t="s">
        <v>902</v>
      </c>
      <c r="E134" s="455">
        <v>17</v>
      </c>
      <c r="F134" s="453" t="s">
        <v>658</v>
      </c>
    </row>
    <row r="135" s="408" customFormat="1" ht="70.5" customHeight="1" spans="1:7">
      <c r="A135" s="448"/>
      <c r="B135" s="448"/>
      <c r="C135" s="448" t="s">
        <v>903</v>
      </c>
      <c r="D135" s="446"/>
      <c r="E135" s="452">
        <f>SUM(E134:E134)</f>
        <v>17</v>
      </c>
      <c r="F135" s="448"/>
      <c r="G135" s="411"/>
    </row>
    <row r="136" s="408" customFormat="1" ht="70.5" customHeight="1" spans="1:7">
      <c r="A136" s="453">
        <v>102</v>
      </c>
      <c r="B136" s="453" t="s">
        <v>904</v>
      </c>
      <c r="C136" s="453" t="s">
        <v>905</v>
      </c>
      <c r="D136" s="454" t="s">
        <v>906</v>
      </c>
      <c r="E136" s="455">
        <v>383.87</v>
      </c>
      <c r="F136" s="453" t="s">
        <v>658</v>
      </c>
      <c r="G136" s="411"/>
    </row>
    <row r="137" ht="59.25" customHeight="1" spans="1:7">
      <c r="A137" s="453">
        <v>103</v>
      </c>
      <c r="B137" s="453" t="s">
        <v>907</v>
      </c>
      <c r="C137" s="453" t="s">
        <v>905</v>
      </c>
      <c r="D137" s="454" t="s">
        <v>908</v>
      </c>
      <c r="E137" s="455">
        <v>6000</v>
      </c>
      <c r="F137" s="453" t="s">
        <v>653</v>
      </c>
    </row>
    <row r="138" s="408" customFormat="1" ht="43.5" customHeight="1" spans="1:7">
      <c r="A138" s="448"/>
      <c r="B138" s="448"/>
      <c r="C138" s="448" t="s">
        <v>909</v>
      </c>
      <c r="D138" s="446"/>
      <c r="E138" s="452">
        <f>SUM(E136:E137)</f>
        <v>6383.87</v>
      </c>
      <c r="F138" s="448"/>
      <c r="G138" s="411"/>
    </row>
    <row r="139" ht="60" customHeight="1" spans="1:7">
      <c r="A139" s="453">
        <v>104</v>
      </c>
      <c r="B139" s="453" t="s">
        <v>910</v>
      </c>
      <c r="C139" s="453" t="s">
        <v>911</v>
      </c>
      <c r="D139" s="454" t="s">
        <v>912</v>
      </c>
      <c r="E139" s="455">
        <v>11372.4</v>
      </c>
      <c r="F139" s="453" t="s">
        <v>653</v>
      </c>
    </row>
    <row r="140" s="408" customFormat="1" ht="43.5" customHeight="1" spans="1:7">
      <c r="A140" s="448"/>
      <c r="B140" s="448"/>
      <c r="C140" s="448" t="s">
        <v>913</v>
      </c>
      <c r="D140" s="446"/>
      <c r="E140" s="452">
        <f>SUM(E139)</f>
        <v>11372.4</v>
      </c>
      <c r="F140" s="448"/>
      <c r="G140" s="411"/>
    </row>
    <row r="141" ht="57.75" customHeight="1" spans="1:7">
      <c r="A141" s="453">
        <v>105</v>
      </c>
      <c r="B141" s="453" t="s">
        <v>914</v>
      </c>
      <c r="C141" s="453" t="s">
        <v>548</v>
      </c>
      <c r="D141" s="454" t="s">
        <v>915</v>
      </c>
      <c r="E141" s="455">
        <v>400000</v>
      </c>
      <c r="F141" s="453" t="s">
        <v>653</v>
      </c>
    </row>
    <row r="142" s="408" customFormat="1" ht="43.5" customHeight="1" spans="1:7">
      <c r="A142" s="448"/>
      <c r="B142" s="448"/>
      <c r="C142" s="448" t="s">
        <v>916</v>
      </c>
      <c r="D142" s="446"/>
      <c r="E142" s="452">
        <v>400000</v>
      </c>
      <c r="F142" s="448"/>
      <c r="G142" s="411"/>
    </row>
  </sheetData>
  <mergeCells count="19">
    <mergeCell ref="A2:F2"/>
    <mergeCell ref="A4:F4"/>
    <mergeCell ref="B5:D5"/>
    <mergeCell ref="B6:D6"/>
    <mergeCell ref="B7:D7"/>
    <mergeCell ref="B8:D8"/>
    <mergeCell ref="B9:D9"/>
    <mergeCell ref="A10:F10"/>
    <mergeCell ref="B11:D11"/>
    <mergeCell ref="B12:D12"/>
    <mergeCell ref="B13:D13"/>
    <mergeCell ref="B14:D14"/>
    <mergeCell ref="B15:D15"/>
    <mergeCell ref="B16:D16"/>
    <mergeCell ref="B17:D17"/>
    <mergeCell ref="B18:D18"/>
    <mergeCell ref="B19:D19"/>
    <mergeCell ref="A20:F20"/>
    <mergeCell ref="B22:D22"/>
  </mergeCells>
  <printOptions horizontalCentered="1"/>
  <pageMargins left="0.59" right="0.59" top="0.79" bottom="0.79" header="0.16" footer="0.24"/>
  <pageSetup paperSize="9" scale="60"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zoomScale="85" zoomScaleNormal="85" zoomScaleSheetLayoutView="60" workbookViewId="0">
      <selection activeCell="H26" sqref="H26"/>
    </sheetView>
  </sheetViews>
  <sheetFormatPr defaultColWidth="14.875" defaultRowHeight="15.75" outlineLevelCol="4"/>
  <cols>
    <col min="1" max="1" width="36" style="372" customWidth="1"/>
    <col min="2" max="2" width="20.375" style="372" customWidth="1"/>
    <col min="3" max="3" width="24.25" style="373" customWidth="1"/>
    <col min="4" max="4" width="25.125" style="373" customWidth="1"/>
    <col min="5" max="5" width="25" style="372" hidden="1" customWidth="1"/>
    <col min="6" max="6" width="14.875" style="372" customWidth="1"/>
    <col min="7" max="29" width="9" style="372" customWidth="1"/>
    <col min="30" max="221" width="14.875" style="372" customWidth="1"/>
    <col min="222" max="250" width="9" style="372" customWidth="1"/>
    <col min="251" max="251" width="26.125" style="372" customWidth="1"/>
    <col min="252" max="16384" width="14.875" style="372"/>
  </cols>
  <sheetData>
    <row r="1" ht="15" customHeight="1" spans="1:5">
      <c r="A1" s="374" t="s">
        <v>917</v>
      </c>
    </row>
    <row r="2" ht="29.1" customHeight="1" spans="1:5">
      <c r="A2" s="375" t="s">
        <v>918</v>
      </c>
      <c r="B2" s="375"/>
      <c r="C2" s="376"/>
      <c r="D2" s="376"/>
      <c r="E2" s="375"/>
    </row>
    <row r="3" ht="17.25" customHeight="1" spans="1:5">
      <c r="A3" s="377"/>
      <c r="B3" s="377"/>
      <c r="C3" s="378"/>
      <c r="D3" s="379" t="s">
        <v>2</v>
      </c>
      <c r="E3" s="379" t="s">
        <v>2</v>
      </c>
    </row>
    <row r="4" ht="39" customHeight="1" spans="1:5">
      <c r="A4" s="380" t="s">
        <v>3</v>
      </c>
      <c r="B4" s="380" t="s">
        <v>6</v>
      </c>
      <c r="C4" s="380" t="s">
        <v>919</v>
      </c>
      <c r="D4" s="307" t="s">
        <v>920</v>
      </c>
      <c r="E4" s="381" t="s">
        <v>8</v>
      </c>
    </row>
    <row r="5" ht="30" customHeight="1" spans="1:5">
      <c r="A5" s="382" t="s">
        <v>9</v>
      </c>
      <c r="B5" s="383">
        <f>SUM(B6:B15)</f>
        <v>2295200</v>
      </c>
      <c r="C5" s="384">
        <v>2380000</v>
      </c>
      <c r="D5" s="385">
        <f>C5/B5-1</f>
        <v>0.0369466713140467</v>
      </c>
      <c r="E5" s="386"/>
    </row>
    <row r="6" ht="30" customHeight="1" spans="1:5">
      <c r="A6" s="386" t="s">
        <v>10</v>
      </c>
      <c r="B6" s="387">
        <v>929012</v>
      </c>
      <c r="C6" s="388">
        <v>945000</v>
      </c>
      <c r="D6" s="389">
        <f t="shared" ref="D6:D15" si="0">C6/B6-1</f>
        <v>0.0172096808222069</v>
      </c>
      <c r="E6" s="390"/>
    </row>
    <row r="7" ht="30" customHeight="1" spans="1:5">
      <c r="A7" s="386" t="s">
        <v>11</v>
      </c>
      <c r="B7" s="387">
        <v>247108</v>
      </c>
      <c r="C7" s="388">
        <v>243000</v>
      </c>
      <c r="D7" s="389">
        <f t="shared" si="0"/>
        <v>-0.0166243100182916</v>
      </c>
      <c r="E7" s="390"/>
    </row>
    <row r="8" ht="30" customHeight="1" spans="1:5">
      <c r="A8" s="386" t="s">
        <v>12</v>
      </c>
      <c r="B8" s="387">
        <v>416288</v>
      </c>
      <c r="C8" s="388">
        <v>435000</v>
      </c>
      <c r="D8" s="389">
        <f t="shared" si="0"/>
        <v>0.04494965024214</v>
      </c>
      <c r="E8" s="390"/>
    </row>
    <row r="9" ht="30" customHeight="1" spans="1:5">
      <c r="A9" s="386" t="s">
        <v>13</v>
      </c>
      <c r="B9" s="387">
        <v>41129</v>
      </c>
      <c r="C9" s="388">
        <v>62000</v>
      </c>
      <c r="D9" s="389">
        <f t="shared" si="0"/>
        <v>0.507452162707579</v>
      </c>
      <c r="E9" s="390"/>
    </row>
    <row r="10" ht="30" customHeight="1" spans="1:5">
      <c r="A10" s="386" t="s">
        <v>14</v>
      </c>
      <c r="B10" s="387">
        <v>255267</v>
      </c>
      <c r="C10" s="388">
        <v>263000</v>
      </c>
      <c r="D10" s="389">
        <f t="shared" si="0"/>
        <v>0.0302937708360267</v>
      </c>
      <c r="E10" s="390"/>
    </row>
    <row r="11" ht="30" customHeight="1" spans="1:5">
      <c r="A11" s="386" t="s">
        <v>15</v>
      </c>
      <c r="B11" s="387">
        <v>137266</v>
      </c>
      <c r="C11" s="388">
        <v>150000</v>
      </c>
      <c r="D11" s="389">
        <f t="shared" si="0"/>
        <v>0.0927687846954088</v>
      </c>
      <c r="E11" s="390"/>
    </row>
    <row r="12" ht="30" customHeight="1" spans="1:5">
      <c r="A12" s="386" t="s">
        <v>16</v>
      </c>
      <c r="B12" s="387">
        <v>220840</v>
      </c>
      <c r="C12" s="388">
        <v>230000</v>
      </c>
      <c r="D12" s="389">
        <f t="shared" si="0"/>
        <v>0.0414779931171889</v>
      </c>
      <c r="E12" s="390"/>
    </row>
    <row r="13" ht="30" customHeight="1" spans="1:5">
      <c r="A13" s="386" t="s">
        <v>17</v>
      </c>
      <c r="B13" s="387">
        <v>39981</v>
      </c>
      <c r="C13" s="388">
        <v>40000</v>
      </c>
      <c r="D13" s="389">
        <f t="shared" si="0"/>
        <v>0.000475225732222695</v>
      </c>
      <c r="E13" s="390"/>
    </row>
    <row r="14" ht="30" customHeight="1" spans="1:5">
      <c r="A14" s="386" t="s">
        <v>18</v>
      </c>
      <c r="B14" s="387">
        <v>8169</v>
      </c>
      <c r="C14" s="388">
        <v>12000</v>
      </c>
      <c r="D14" s="389">
        <f t="shared" si="0"/>
        <v>0.468968049944914</v>
      </c>
      <c r="E14" s="390"/>
    </row>
    <row r="15" ht="30" customHeight="1" spans="1:5">
      <c r="A15" s="391" t="s">
        <v>921</v>
      </c>
      <c r="B15" s="387">
        <v>140</v>
      </c>
      <c r="C15" s="388"/>
      <c r="D15" s="389">
        <f t="shared" si="0"/>
        <v>-1</v>
      </c>
      <c r="E15" s="390"/>
    </row>
    <row r="16" ht="30" customHeight="1" spans="1:5">
      <c r="A16" s="382" t="s">
        <v>21</v>
      </c>
      <c r="B16" s="383">
        <f>SUM(B17:B23)</f>
        <v>103671</v>
      </c>
      <c r="C16" s="392">
        <v>162000</v>
      </c>
      <c r="D16" s="385">
        <f t="shared" ref="D16:D30" si="1">C16/B16-1</f>
        <v>0.562635645455335</v>
      </c>
      <c r="E16" s="386"/>
    </row>
    <row r="17" ht="30" customHeight="1" spans="1:5">
      <c r="A17" s="393" t="s">
        <v>922</v>
      </c>
      <c r="B17" s="387">
        <v>168</v>
      </c>
      <c r="C17" s="394">
        <v>200</v>
      </c>
      <c r="D17" s="389">
        <f t="shared" si="1"/>
        <v>0.19047619047619</v>
      </c>
      <c r="E17" s="386"/>
    </row>
    <row r="18" ht="30" customHeight="1" spans="1:5">
      <c r="A18" s="393" t="s">
        <v>23</v>
      </c>
      <c r="B18" s="387">
        <v>13560</v>
      </c>
      <c r="C18" s="395">
        <v>7800</v>
      </c>
      <c r="D18" s="389">
        <f t="shared" si="1"/>
        <v>-0.424778761061947</v>
      </c>
      <c r="E18" s="390"/>
    </row>
    <row r="19" ht="30" customHeight="1" spans="1:5">
      <c r="A19" s="393" t="s">
        <v>24</v>
      </c>
      <c r="B19" s="387">
        <v>13868</v>
      </c>
      <c r="C19" s="395">
        <v>7000</v>
      </c>
      <c r="D19" s="389">
        <f t="shared" si="1"/>
        <v>-0.495240842226709</v>
      </c>
      <c r="E19" s="390"/>
    </row>
    <row r="20" ht="30" customHeight="1" spans="1:5">
      <c r="A20" s="393" t="s">
        <v>923</v>
      </c>
      <c r="B20" s="387">
        <v>1863</v>
      </c>
      <c r="C20" s="395">
        <v>2000</v>
      </c>
      <c r="D20" s="389">
        <f t="shared" si="1"/>
        <v>0.0735373054213635</v>
      </c>
      <c r="E20" s="390"/>
    </row>
    <row r="21" ht="30" customHeight="1" spans="1:5">
      <c r="A21" s="393" t="s">
        <v>26</v>
      </c>
      <c r="B21" s="387">
        <v>4217</v>
      </c>
      <c r="C21" s="395">
        <f>84000+12000</f>
        <v>96000</v>
      </c>
      <c r="D21" s="389">
        <f t="shared" si="1"/>
        <v>21.764998814323</v>
      </c>
      <c r="E21" s="390"/>
    </row>
    <row r="22" ht="30" customHeight="1" spans="1:5">
      <c r="A22" s="393" t="s">
        <v>27</v>
      </c>
      <c r="B22" s="387">
        <v>15886</v>
      </c>
      <c r="C22" s="396">
        <v>14000</v>
      </c>
      <c r="D22" s="389">
        <f t="shared" si="1"/>
        <v>-0.118720886314994</v>
      </c>
      <c r="E22" s="390"/>
    </row>
    <row r="23" ht="30" customHeight="1" spans="1:5">
      <c r="A23" s="393" t="s">
        <v>28</v>
      </c>
      <c r="B23" s="387">
        <v>54109</v>
      </c>
      <c r="C23" s="397">
        <v>35000</v>
      </c>
      <c r="D23" s="389">
        <f t="shared" si="1"/>
        <v>-0.353157515385611</v>
      </c>
      <c r="E23" s="390"/>
    </row>
    <row r="24" ht="30" customHeight="1" spans="1:5">
      <c r="A24" s="382" t="s">
        <v>29</v>
      </c>
      <c r="B24" s="398">
        <f>B5+B16</f>
        <v>2398871</v>
      </c>
      <c r="C24" s="398">
        <f>C5+C16</f>
        <v>2542000</v>
      </c>
      <c r="D24" s="385">
        <f t="shared" si="1"/>
        <v>0.0596651508146957</v>
      </c>
      <c r="E24" s="386"/>
    </row>
    <row r="25" ht="30" customHeight="1" spans="1:5">
      <c r="A25" s="399" t="s">
        <v>30</v>
      </c>
      <c r="B25" s="400">
        <v>63604</v>
      </c>
      <c r="C25" s="394">
        <v>63604</v>
      </c>
      <c r="D25" s="389">
        <f t="shared" si="1"/>
        <v>0</v>
      </c>
      <c r="E25" s="386"/>
    </row>
    <row r="26" ht="30" customHeight="1" spans="1:5">
      <c r="A26" s="399" t="s">
        <v>31</v>
      </c>
      <c r="B26" s="401">
        <v>1048169</v>
      </c>
      <c r="C26" s="402">
        <v>519083</v>
      </c>
      <c r="D26" s="389">
        <f t="shared" si="1"/>
        <v>-0.504771654189353</v>
      </c>
      <c r="E26" s="403"/>
    </row>
    <row r="27" ht="30" customHeight="1" spans="1:5">
      <c r="A27" s="399" t="s">
        <v>32</v>
      </c>
      <c r="B27" s="231">
        <v>880</v>
      </c>
      <c r="C27" s="404">
        <v>2868</v>
      </c>
      <c r="D27" s="389">
        <f t="shared" si="1"/>
        <v>2.25909090909091</v>
      </c>
      <c r="E27" s="386"/>
    </row>
    <row r="28" ht="30" customHeight="1" spans="1:5">
      <c r="A28" s="399" t="s">
        <v>33</v>
      </c>
      <c r="B28" s="231">
        <v>217490</v>
      </c>
      <c r="C28" s="404">
        <v>163901</v>
      </c>
      <c r="D28" s="389">
        <f t="shared" si="1"/>
        <v>-0.246397535518874</v>
      </c>
      <c r="E28" s="386"/>
    </row>
    <row r="29" ht="30" customHeight="1" spans="1:5">
      <c r="A29" s="399" t="s">
        <v>34</v>
      </c>
      <c r="B29" s="231">
        <v>427179</v>
      </c>
      <c r="C29" s="404">
        <v>463317</v>
      </c>
      <c r="D29" s="389">
        <f t="shared" si="1"/>
        <v>0.0845968551824878</v>
      </c>
      <c r="E29" s="386"/>
    </row>
    <row r="30" ht="30" customHeight="1" spans="1:5">
      <c r="A30" s="405" t="s">
        <v>35</v>
      </c>
      <c r="B30" s="406">
        <f>SUM(B24:B29)</f>
        <v>4156193</v>
      </c>
      <c r="C30" s="407">
        <f>SUM(C24:C29)</f>
        <v>3754773</v>
      </c>
      <c r="D30" s="385">
        <f t="shared" si="1"/>
        <v>-0.0965835802139121</v>
      </c>
      <c r="E30" s="386"/>
    </row>
  </sheetData>
  <mergeCells count="1">
    <mergeCell ref="A2:E2"/>
  </mergeCells>
  <printOptions horizontalCentered="1"/>
  <pageMargins left="0.59" right="0.59" top="0.79" bottom="0.79" header="0.16" footer="0.51"/>
  <pageSetup paperSize="9" scale="75"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0"/>
  <sheetViews>
    <sheetView zoomScale="85" zoomScaleNormal="85" workbookViewId="0">
      <pane xSplit="1" ySplit="4" topLeftCell="B512" activePane="bottomRight" state="frozen"/>
      <selection/>
      <selection pane="topRight"/>
      <selection pane="bottomLeft"/>
      <selection pane="bottomRight" activeCell="B419" sqref="B419"/>
    </sheetView>
  </sheetViews>
  <sheetFormatPr defaultColWidth="9" defaultRowHeight="22.5" customHeight="1"/>
  <cols>
    <col min="1" max="1" width="9.25" style="291" hidden="1" customWidth="1"/>
    <col min="2" max="2" width="26.875" style="293" customWidth="1"/>
    <col min="3" max="3" width="16.875" style="291" customWidth="1"/>
    <col min="4" max="4" width="11.375" style="294" hidden="1" customWidth="1"/>
    <col min="5" max="5" width="14.25" style="291" hidden="1" customWidth="1"/>
    <col min="6" max="6" width="16.125" style="295" customWidth="1"/>
    <col min="7" max="7" width="14.5" style="291" customWidth="1"/>
    <col min="8" max="8" width="45.75" style="296" customWidth="1"/>
    <col min="9" max="9" width="2" style="291" hidden="1" customWidth="1"/>
    <col min="10" max="245" width="9" style="291" customWidth="1"/>
  </cols>
  <sheetData>
    <row r="1" s="290" customFormat="1" ht="18" customHeight="1" spans="1:9">
      <c r="A1" s="291"/>
      <c r="B1" s="297" t="s">
        <v>924</v>
      </c>
      <c r="C1" s="291"/>
      <c r="D1" s="294"/>
      <c r="E1" s="291"/>
      <c r="F1" s="295"/>
      <c r="G1" s="291"/>
      <c r="H1" s="296"/>
      <c r="I1" s="291"/>
    </row>
    <row r="2" s="291" customFormat="1" ht="53.25" customHeight="1" spans="1:9">
      <c r="B2" s="298" t="s">
        <v>925</v>
      </c>
      <c r="C2" s="299"/>
      <c r="D2" s="300"/>
      <c r="E2" s="299"/>
      <c r="F2" s="301"/>
      <c r="G2" s="299"/>
      <c r="H2" s="302"/>
    </row>
    <row r="3" s="291" customFormat="1" ht="16.5" customHeight="1" spans="1:9">
      <c r="B3" s="303"/>
      <c r="D3" s="294"/>
      <c r="F3" s="295"/>
      <c r="H3" s="304" t="s">
        <v>38</v>
      </c>
    </row>
    <row r="4" s="291" customFormat="1" ht="61.5" customHeight="1" spans="1:9">
      <c r="A4" s="305" t="s">
        <v>39</v>
      </c>
      <c r="B4" s="306" t="s">
        <v>40</v>
      </c>
      <c r="C4" s="307" t="s">
        <v>6</v>
      </c>
      <c r="D4" s="308" t="s">
        <v>926</v>
      </c>
      <c r="E4" s="307" t="s">
        <v>927</v>
      </c>
      <c r="F4" s="307" t="s">
        <v>919</v>
      </c>
      <c r="G4" s="307" t="s">
        <v>928</v>
      </c>
      <c r="H4" s="309" t="s">
        <v>929</v>
      </c>
      <c r="I4" s="305" t="s">
        <v>46</v>
      </c>
    </row>
    <row r="5" s="291" customFormat="1" ht="24.95" customHeight="1" spans="1:9">
      <c r="A5" s="310">
        <v>201</v>
      </c>
      <c r="B5" s="311" t="s">
        <v>47</v>
      </c>
      <c r="C5" s="312">
        <f>C6+C15+C21+C28+C36+C44+C52+C56+C62+C69+C73+C81+C85+C89+C91+C93+C96+C98+C104+C110+C114+C118+C122+C127+C129+C136</f>
        <v>169610</v>
      </c>
      <c r="D5" s="313">
        <v>400</v>
      </c>
      <c r="E5" s="313">
        <f>E6+E15+E21+E28+E36+E44+E52+E56+E62+E69+E73+E81+E85+E89+E91+E93+E96+E98+E104+E110+E114+E118+E122+E127+E129+E136</f>
        <v>188617.39</v>
      </c>
      <c r="F5" s="314">
        <f t="shared" ref="F5:F10" si="0">D5+E5</f>
        <v>189017.39</v>
      </c>
      <c r="G5" s="315">
        <f t="shared" ref="G5:G10" si="1">F5/C5-1</f>
        <v>0.114423618890396</v>
      </c>
      <c r="H5" s="312"/>
      <c r="I5" s="316">
        <f t="shared" ref="I5:I12" si="2">LEN(A5)</f>
        <v>3</v>
      </c>
    </row>
    <row r="6" s="291" customFormat="1" ht="24.95" customHeight="1" spans="1:9">
      <c r="A6" s="310">
        <v>20101</v>
      </c>
      <c r="B6" s="317" t="s">
        <v>48</v>
      </c>
      <c r="C6" s="318">
        <f>SUM(C7:C14)</f>
        <v>3291</v>
      </c>
      <c r="D6" s="318"/>
      <c r="E6" s="318">
        <f>SUM(E7:E14)</f>
        <v>3192.73</v>
      </c>
      <c r="F6" s="319">
        <f t="shared" si="0"/>
        <v>3192.73</v>
      </c>
      <c r="G6" s="320">
        <f t="shared" si="1"/>
        <v>-0.0298602248556669</v>
      </c>
      <c r="H6" s="318"/>
      <c r="I6" s="316">
        <f t="shared" si="2"/>
        <v>5</v>
      </c>
    </row>
    <row r="7" s="291" customFormat="1" ht="24.95" customHeight="1" spans="1:9">
      <c r="A7" s="310">
        <v>2010101</v>
      </c>
      <c r="B7" s="321" t="s">
        <v>49</v>
      </c>
      <c r="C7" s="322">
        <v>1752</v>
      </c>
      <c r="D7" s="323"/>
      <c r="E7" s="322">
        <v>1561.44</v>
      </c>
      <c r="F7" s="324">
        <f t="shared" si="0"/>
        <v>1561.44</v>
      </c>
      <c r="G7" s="325">
        <f t="shared" si="1"/>
        <v>-0.108767123287671</v>
      </c>
      <c r="H7" s="326"/>
      <c r="I7" s="316">
        <f t="shared" si="2"/>
        <v>7</v>
      </c>
    </row>
    <row r="8" s="291" customFormat="1" ht="24.95" customHeight="1" spans="1:9">
      <c r="A8" s="310">
        <v>2010102</v>
      </c>
      <c r="B8" s="321" t="s">
        <v>50</v>
      </c>
      <c r="C8" s="322">
        <v>729</v>
      </c>
      <c r="D8" s="323"/>
      <c r="E8" s="322">
        <v>699.95</v>
      </c>
      <c r="F8" s="324">
        <f t="shared" si="0"/>
        <v>699.95</v>
      </c>
      <c r="G8" s="325">
        <f t="shared" si="1"/>
        <v>-0.0398491083676268</v>
      </c>
      <c r="H8" s="326"/>
      <c r="I8" s="316">
        <f t="shared" si="2"/>
        <v>7</v>
      </c>
    </row>
    <row r="9" s="291" customFormat="1" ht="24.95" customHeight="1" spans="1:9">
      <c r="A9" s="310">
        <v>2010104</v>
      </c>
      <c r="B9" s="321" t="s">
        <v>51</v>
      </c>
      <c r="C9" s="322">
        <v>89</v>
      </c>
      <c r="D9" s="323"/>
      <c r="E9" s="322">
        <v>116.3</v>
      </c>
      <c r="F9" s="324">
        <f t="shared" si="0"/>
        <v>116.3</v>
      </c>
      <c r="G9" s="325">
        <f t="shared" si="1"/>
        <v>0.306741573033708</v>
      </c>
      <c r="H9" s="326" t="s">
        <v>930</v>
      </c>
      <c r="I9" s="316">
        <f t="shared" si="2"/>
        <v>7</v>
      </c>
    </row>
    <row r="10" s="291" customFormat="1" ht="24.95" customHeight="1" spans="1:9">
      <c r="A10" s="310">
        <v>2010106</v>
      </c>
      <c r="B10" s="321" t="s">
        <v>52</v>
      </c>
      <c r="C10" s="322">
        <v>95</v>
      </c>
      <c r="D10" s="323"/>
      <c r="E10" s="322">
        <v>89.11</v>
      </c>
      <c r="F10" s="324">
        <f t="shared" si="0"/>
        <v>89.11</v>
      </c>
      <c r="G10" s="325">
        <f t="shared" si="1"/>
        <v>-0.0620000000000001</v>
      </c>
      <c r="H10" s="326"/>
      <c r="I10" s="316">
        <f t="shared" si="2"/>
        <v>7</v>
      </c>
    </row>
    <row r="11" s="291" customFormat="1" ht="24.95" customHeight="1" spans="1:9">
      <c r="A11" s="310">
        <v>2010107</v>
      </c>
      <c r="B11" s="327" t="s">
        <v>53</v>
      </c>
      <c r="C11" s="322"/>
      <c r="D11" s="323"/>
      <c r="E11" s="322"/>
      <c r="F11" s="324"/>
      <c r="G11" s="328" t="s">
        <v>20</v>
      </c>
      <c r="H11" s="326"/>
      <c r="I11" s="316">
        <f t="shared" si="2"/>
        <v>7</v>
      </c>
    </row>
    <row r="12" s="291" customFormat="1" ht="24.95" customHeight="1" spans="1:9">
      <c r="A12" s="310">
        <v>2010108</v>
      </c>
      <c r="B12" s="321" t="s">
        <v>55</v>
      </c>
      <c r="C12" s="322">
        <v>257</v>
      </c>
      <c r="D12" s="323"/>
      <c r="E12" s="322">
        <v>229</v>
      </c>
      <c r="F12" s="324">
        <f>D12+E12</f>
        <v>229</v>
      </c>
      <c r="G12" s="325">
        <f>F12/C12-1</f>
        <v>-0.108949416342412</v>
      </c>
      <c r="H12" s="326"/>
      <c r="I12" s="316">
        <f t="shared" si="2"/>
        <v>7</v>
      </c>
    </row>
    <row r="13" s="291" customFormat="1" ht="24.95" customHeight="1" spans="1:9">
      <c r="A13" s="310">
        <v>2010150</v>
      </c>
      <c r="B13" s="329" t="s">
        <v>65</v>
      </c>
      <c r="C13" s="322"/>
      <c r="D13" s="323"/>
      <c r="E13" s="322">
        <v>84</v>
      </c>
      <c r="F13" s="324">
        <v>84</v>
      </c>
      <c r="G13" s="325" t="s">
        <v>20</v>
      </c>
      <c r="H13" s="326"/>
      <c r="I13" s="316"/>
    </row>
    <row r="14" s="291" customFormat="1" ht="24.95" customHeight="1" spans="1:9">
      <c r="A14" s="310">
        <v>2010199</v>
      </c>
      <c r="B14" s="321" t="s">
        <v>56</v>
      </c>
      <c r="C14" s="322">
        <v>369</v>
      </c>
      <c r="D14" s="323"/>
      <c r="E14" s="322">
        <v>412.93</v>
      </c>
      <c r="F14" s="324">
        <f t="shared" ref="F14:F30" si="3">D14+E14</f>
        <v>412.93</v>
      </c>
      <c r="G14" s="325">
        <f t="shared" ref="G14:G70" si="4">F14/C14-1</f>
        <v>0.119051490514905</v>
      </c>
      <c r="H14" s="326"/>
      <c r="I14" s="316">
        <f t="shared" ref="I14:I60" si="5">LEN(A14)</f>
        <v>7</v>
      </c>
    </row>
    <row r="15" s="291" customFormat="1" ht="24.95" customHeight="1" spans="1:9">
      <c r="A15" s="310">
        <v>20102</v>
      </c>
      <c r="B15" s="317" t="s">
        <v>57</v>
      </c>
      <c r="C15" s="318">
        <f>SUM(C16:C20)</f>
        <v>2482</v>
      </c>
      <c r="D15" s="318"/>
      <c r="E15" s="318">
        <f>SUM(E16:E20)</f>
        <v>2131.39</v>
      </c>
      <c r="F15" s="319">
        <f t="shared" si="3"/>
        <v>2131.39</v>
      </c>
      <c r="G15" s="320">
        <f t="shared" si="4"/>
        <v>-0.141261079774376</v>
      </c>
      <c r="H15" s="318"/>
      <c r="I15" s="316">
        <f t="shared" si="5"/>
        <v>5</v>
      </c>
    </row>
    <row r="16" s="291" customFormat="1" ht="24.95" customHeight="1" spans="1:9">
      <c r="A16" s="310">
        <v>2010201</v>
      </c>
      <c r="B16" s="321" t="s">
        <v>49</v>
      </c>
      <c r="C16" s="322">
        <v>1371</v>
      </c>
      <c r="D16" s="323"/>
      <c r="E16" s="322">
        <v>1176.03</v>
      </c>
      <c r="F16" s="324">
        <f t="shared" si="3"/>
        <v>1176.03</v>
      </c>
      <c r="G16" s="325">
        <f t="shared" si="4"/>
        <v>-0.142210065645514</v>
      </c>
      <c r="H16" s="326"/>
      <c r="I16" s="316">
        <f t="shared" si="5"/>
        <v>7</v>
      </c>
    </row>
    <row r="17" s="291" customFormat="1" ht="51.95" customHeight="1" spans="1:9">
      <c r="A17" s="310">
        <v>2010202</v>
      </c>
      <c r="B17" s="321" t="s">
        <v>50</v>
      </c>
      <c r="C17" s="322">
        <v>108</v>
      </c>
      <c r="D17" s="323"/>
      <c r="E17" s="322">
        <v>69.22</v>
      </c>
      <c r="F17" s="324">
        <f t="shared" si="3"/>
        <v>69.22</v>
      </c>
      <c r="G17" s="325">
        <f t="shared" si="4"/>
        <v>-0.359074074074074</v>
      </c>
      <c r="H17" s="326" t="s">
        <v>931</v>
      </c>
      <c r="I17" s="316">
        <f t="shared" si="5"/>
        <v>7</v>
      </c>
    </row>
    <row r="18" s="291" customFormat="1" ht="24.95" customHeight="1" spans="1:9">
      <c r="A18" s="310">
        <v>2010204</v>
      </c>
      <c r="B18" s="321" t="s">
        <v>59</v>
      </c>
      <c r="C18" s="322">
        <v>45</v>
      </c>
      <c r="D18" s="323"/>
      <c r="E18" s="322">
        <v>50</v>
      </c>
      <c r="F18" s="324">
        <f t="shared" si="3"/>
        <v>50</v>
      </c>
      <c r="G18" s="325">
        <f t="shared" si="4"/>
        <v>0.111111111111111</v>
      </c>
      <c r="H18" s="326"/>
      <c r="I18" s="316">
        <f t="shared" si="5"/>
        <v>7</v>
      </c>
    </row>
    <row r="19" s="291" customFormat="1" ht="24.95" customHeight="1" spans="1:9">
      <c r="A19" s="310">
        <v>2010205</v>
      </c>
      <c r="B19" s="321" t="s">
        <v>60</v>
      </c>
      <c r="C19" s="322">
        <v>693</v>
      </c>
      <c r="D19" s="323"/>
      <c r="E19" s="322">
        <v>556.03</v>
      </c>
      <c r="F19" s="324">
        <f t="shared" si="3"/>
        <v>556.03</v>
      </c>
      <c r="G19" s="325">
        <f t="shared" si="4"/>
        <v>-0.197647907647908</v>
      </c>
      <c r="H19" s="326"/>
      <c r="I19" s="316">
        <f t="shared" si="5"/>
        <v>7</v>
      </c>
    </row>
    <row r="20" s="291" customFormat="1" ht="24.95" customHeight="1" spans="1:9">
      <c r="A20" s="310">
        <v>2010206</v>
      </c>
      <c r="B20" s="321" t="s">
        <v>61</v>
      </c>
      <c r="C20" s="322">
        <v>265</v>
      </c>
      <c r="D20" s="323"/>
      <c r="E20" s="322">
        <v>280.11</v>
      </c>
      <c r="F20" s="324">
        <f t="shared" si="3"/>
        <v>280.11</v>
      </c>
      <c r="G20" s="325">
        <f t="shared" si="4"/>
        <v>0.0570188679245283</v>
      </c>
      <c r="H20" s="326"/>
      <c r="I20" s="316">
        <f t="shared" si="5"/>
        <v>7</v>
      </c>
    </row>
    <row r="21" s="291" customFormat="1" ht="35.1" customHeight="1" spans="1:9">
      <c r="A21" s="310">
        <v>20103</v>
      </c>
      <c r="B21" s="317" t="s">
        <v>62</v>
      </c>
      <c r="C21" s="318">
        <f>SUM(C22:C27)</f>
        <v>28083</v>
      </c>
      <c r="D21" s="318"/>
      <c r="E21" s="318">
        <f>SUM(E22:E27)</f>
        <v>29831.64</v>
      </c>
      <c r="F21" s="319">
        <f t="shared" si="3"/>
        <v>29831.64</v>
      </c>
      <c r="G21" s="320">
        <f t="shared" si="4"/>
        <v>0.0622668518320693</v>
      </c>
      <c r="H21" s="318"/>
      <c r="I21" s="316">
        <f t="shared" si="5"/>
        <v>5</v>
      </c>
    </row>
    <row r="22" s="291" customFormat="1" ht="24.95" customHeight="1" spans="1:9">
      <c r="A22" s="310">
        <v>2010301</v>
      </c>
      <c r="B22" s="321" t="s">
        <v>49</v>
      </c>
      <c r="C22" s="322">
        <v>16510</v>
      </c>
      <c r="D22" s="323"/>
      <c r="E22" s="322">
        <v>16805.31</v>
      </c>
      <c r="F22" s="324">
        <f t="shared" si="3"/>
        <v>16805.31</v>
      </c>
      <c r="G22" s="325">
        <f t="shared" si="4"/>
        <v>0.0178867353119323</v>
      </c>
      <c r="H22" s="326"/>
      <c r="I22" s="316">
        <f t="shared" si="5"/>
        <v>7</v>
      </c>
    </row>
    <row r="23" s="291" customFormat="1" ht="67.5" customHeight="1" spans="1:9">
      <c r="A23" s="310">
        <v>2010302</v>
      </c>
      <c r="B23" s="321" t="s">
        <v>50</v>
      </c>
      <c r="C23" s="322">
        <v>4005</v>
      </c>
      <c r="D23" s="323"/>
      <c r="E23" s="322">
        <v>5933</v>
      </c>
      <c r="F23" s="324">
        <f t="shared" si="3"/>
        <v>5933</v>
      </c>
      <c r="G23" s="325">
        <f t="shared" si="4"/>
        <v>0.481398252184769</v>
      </c>
      <c r="H23" s="326"/>
      <c r="I23" s="316">
        <f t="shared" si="5"/>
        <v>7</v>
      </c>
    </row>
    <row r="24" s="291" customFormat="1" ht="24.95" customHeight="1" spans="1:9">
      <c r="A24" s="310">
        <v>2010303</v>
      </c>
      <c r="B24" s="321" t="s">
        <v>63</v>
      </c>
      <c r="C24" s="322">
        <v>2261</v>
      </c>
      <c r="D24" s="323"/>
      <c r="E24" s="322">
        <v>2206.08</v>
      </c>
      <c r="F24" s="324">
        <f t="shared" si="3"/>
        <v>2206.08</v>
      </c>
      <c r="G24" s="325">
        <f t="shared" si="4"/>
        <v>-0.0242901371074746</v>
      </c>
      <c r="H24" s="326"/>
      <c r="I24" s="316">
        <f t="shared" si="5"/>
        <v>7</v>
      </c>
    </row>
    <row r="25" s="291" customFormat="1" ht="24.95" customHeight="1" spans="1:9">
      <c r="A25" s="310">
        <v>2010308</v>
      </c>
      <c r="B25" s="321" t="s">
        <v>64</v>
      </c>
      <c r="C25" s="322">
        <v>724</v>
      </c>
      <c r="D25" s="323"/>
      <c r="E25" s="322">
        <v>722.82</v>
      </c>
      <c r="F25" s="324">
        <f t="shared" si="3"/>
        <v>722.82</v>
      </c>
      <c r="G25" s="325">
        <f t="shared" si="4"/>
        <v>-0.00162983425414354</v>
      </c>
      <c r="H25" s="326"/>
      <c r="I25" s="316">
        <f t="shared" si="5"/>
        <v>7</v>
      </c>
    </row>
    <row r="26" s="291" customFormat="1" ht="24.95" customHeight="1" spans="1:9">
      <c r="A26" s="310">
        <v>2010350</v>
      </c>
      <c r="B26" s="321" t="s">
        <v>65</v>
      </c>
      <c r="C26" s="322">
        <v>4260</v>
      </c>
      <c r="D26" s="323"/>
      <c r="E26" s="322">
        <v>3306.63</v>
      </c>
      <c r="F26" s="324">
        <f t="shared" si="3"/>
        <v>3306.63</v>
      </c>
      <c r="G26" s="325">
        <f t="shared" si="4"/>
        <v>-0.223795774647887</v>
      </c>
      <c r="H26" s="326"/>
      <c r="I26" s="316">
        <f t="shared" si="5"/>
        <v>7</v>
      </c>
    </row>
    <row r="27" s="291" customFormat="1" ht="39.95" customHeight="1" spans="1:9">
      <c r="A27" s="310">
        <v>2010399</v>
      </c>
      <c r="B27" s="321" t="s">
        <v>66</v>
      </c>
      <c r="C27" s="322">
        <v>323</v>
      </c>
      <c r="D27" s="323"/>
      <c r="E27" s="322">
        <v>857.8</v>
      </c>
      <c r="F27" s="324">
        <f t="shared" si="3"/>
        <v>857.8</v>
      </c>
      <c r="G27" s="325">
        <f t="shared" si="4"/>
        <v>1.65572755417957</v>
      </c>
      <c r="H27" s="326"/>
      <c r="I27" s="316">
        <f t="shared" si="5"/>
        <v>7</v>
      </c>
    </row>
    <row r="28" s="291" customFormat="1" ht="24.95" customHeight="1" spans="1:9">
      <c r="A28" s="310">
        <v>20104</v>
      </c>
      <c r="B28" s="317" t="s">
        <v>67</v>
      </c>
      <c r="C28" s="318">
        <f>SUM(C29:C35)</f>
        <v>4809</v>
      </c>
      <c r="D28" s="318"/>
      <c r="E28" s="318">
        <f>SUM(E29:E35)</f>
        <v>3362.05</v>
      </c>
      <c r="F28" s="319">
        <f t="shared" si="3"/>
        <v>3362.05</v>
      </c>
      <c r="G28" s="320">
        <f t="shared" si="4"/>
        <v>-0.300883759617384</v>
      </c>
      <c r="H28" s="318"/>
      <c r="I28" s="316">
        <f t="shared" si="5"/>
        <v>5</v>
      </c>
    </row>
    <row r="29" s="291" customFormat="1" ht="24.95" customHeight="1" spans="1:9">
      <c r="A29" s="310">
        <v>2010401</v>
      </c>
      <c r="B29" s="321" t="s">
        <v>49</v>
      </c>
      <c r="C29" s="322">
        <v>3164</v>
      </c>
      <c r="D29" s="323"/>
      <c r="E29" s="322">
        <v>2808.93</v>
      </c>
      <c r="F29" s="324">
        <f t="shared" si="3"/>
        <v>2808.93</v>
      </c>
      <c r="G29" s="325">
        <f t="shared" si="4"/>
        <v>-0.112221871049305</v>
      </c>
      <c r="H29" s="326"/>
      <c r="I29" s="316">
        <f t="shared" si="5"/>
        <v>7</v>
      </c>
    </row>
    <row r="30" s="291" customFormat="1" ht="24.95" customHeight="1" spans="1:9">
      <c r="A30" s="310">
        <v>2010402</v>
      </c>
      <c r="B30" s="321" t="s">
        <v>50</v>
      </c>
      <c r="C30" s="322">
        <v>326</v>
      </c>
      <c r="D30" s="323"/>
      <c r="E30" s="322">
        <v>352.12</v>
      </c>
      <c r="F30" s="324">
        <f t="shared" si="3"/>
        <v>352.12</v>
      </c>
      <c r="G30" s="325">
        <f t="shared" si="4"/>
        <v>0.0801226993865032</v>
      </c>
      <c r="H30" s="326"/>
      <c r="I30" s="316">
        <f t="shared" si="5"/>
        <v>7</v>
      </c>
    </row>
    <row r="31" s="291" customFormat="1" ht="53.1" customHeight="1" spans="1:9">
      <c r="A31" s="310">
        <v>2010404</v>
      </c>
      <c r="B31" s="321" t="s">
        <v>69</v>
      </c>
      <c r="C31" s="322">
        <v>24</v>
      </c>
      <c r="D31" s="323"/>
      <c r="E31" s="322"/>
      <c r="F31" s="324"/>
      <c r="G31" s="325">
        <f t="shared" si="4"/>
        <v>-1</v>
      </c>
      <c r="H31" s="326" t="s">
        <v>932</v>
      </c>
      <c r="I31" s="316">
        <f t="shared" si="5"/>
        <v>7</v>
      </c>
    </row>
    <row r="32" s="291" customFormat="1" ht="50.1" customHeight="1" spans="1:9">
      <c r="A32" s="310">
        <v>2010405</v>
      </c>
      <c r="B32" s="321" t="s">
        <v>70</v>
      </c>
      <c r="C32" s="322">
        <v>131</v>
      </c>
      <c r="D32" s="323"/>
      <c r="E32" s="322">
        <v>201</v>
      </c>
      <c r="F32" s="324">
        <f t="shared" ref="F32:F60" si="6">D32+E32</f>
        <v>201</v>
      </c>
      <c r="G32" s="325">
        <f t="shared" si="4"/>
        <v>0.534351145038168</v>
      </c>
      <c r="H32" s="326" t="s">
        <v>933</v>
      </c>
      <c r="I32" s="316">
        <f t="shared" si="5"/>
        <v>7</v>
      </c>
    </row>
    <row r="33" s="291" customFormat="1" ht="24.95" customHeight="1" spans="1:9">
      <c r="A33" s="310">
        <v>2010407</v>
      </c>
      <c r="B33" s="327" t="s">
        <v>71</v>
      </c>
      <c r="C33" s="322"/>
      <c r="D33" s="323"/>
      <c r="E33" s="322"/>
      <c r="F33" s="324"/>
      <c r="G33" s="328"/>
      <c r="H33" s="326"/>
      <c r="I33" s="316">
        <f t="shared" si="5"/>
        <v>7</v>
      </c>
    </row>
    <row r="34" s="291" customFormat="1" ht="24.95" customHeight="1" spans="1:9">
      <c r="A34" s="310">
        <v>2010408</v>
      </c>
      <c r="B34" s="321" t="s">
        <v>72</v>
      </c>
      <c r="C34" s="322"/>
      <c r="D34" s="323"/>
      <c r="E34" s="322"/>
      <c r="F34" s="324"/>
      <c r="G34" s="328"/>
      <c r="H34" s="326"/>
      <c r="I34" s="316">
        <f t="shared" si="5"/>
        <v>7</v>
      </c>
    </row>
    <row r="35" s="291" customFormat="1" ht="44.25" customHeight="1" spans="1:9">
      <c r="A35" s="310">
        <v>2010499</v>
      </c>
      <c r="B35" s="327" t="s">
        <v>74</v>
      </c>
      <c r="C35" s="322">
        <v>1164</v>
      </c>
      <c r="D35" s="323"/>
      <c r="E35" s="322"/>
      <c r="F35" s="324">
        <f t="shared" si="6"/>
        <v>0</v>
      </c>
      <c r="G35" s="325">
        <f t="shared" si="4"/>
        <v>-1</v>
      </c>
      <c r="H35" s="326" t="s">
        <v>934</v>
      </c>
      <c r="I35" s="316">
        <f t="shared" si="5"/>
        <v>7</v>
      </c>
    </row>
    <row r="36" s="291" customFormat="1" ht="24.95" customHeight="1" spans="1:9">
      <c r="A36" s="310">
        <v>20105</v>
      </c>
      <c r="B36" s="317" t="s">
        <v>75</v>
      </c>
      <c r="C36" s="318">
        <f>SUM(C37:C43)</f>
        <v>6124</v>
      </c>
      <c r="D36" s="318"/>
      <c r="E36" s="318">
        <f>SUM(E37:E43)</f>
        <v>6163.61</v>
      </c>
      <c r="F36" s="319">
        <f t="shared" si="6"/>
        <v>6163.61</v>
      </c>
      <c r="G36" s="320">
        <f t="shared" si="4"/>
        <v>0.00646799477465709</v>
      </c>
      <c r="H36" s="318"/>
      <c r="I36" s="316">
        <f t="shared" si="5"/>
        <v>5</v>
      </c>
    </row>
    <row r="37" s="291" customFormat="1" ht="24.95" customHeight="1" spans="1:9">
      <c r="A37" s="310">
        <v>2010501</v>
      </c>
      <c r="B37" s="321" t="s">
        <v>49</v>
      </c>
      <c r="C37" s="322">
        <v>1766</v>
      </c>
      <c r="D37" s="323"/>
      <c r="E37" s="322">
        <v>1627.27</v>
      </c>
      <c r="F37" s="324">
        <f t="shared" si="6"/>
        <v>1627.27</v>
      </c>
      <c r="G37" s="325">
        <f t="shared" si="4"/>
        <v>-0.0785560588901473</v>
      </c>
      <c r="H37" s="326"/>
      <c r="I37" s="316">
        <f t="shared" si="5"/>
        <v>7</v>
      </c>
    </row>
    <row r="38" s="291" customFormat="1" ht="24.95" customHeight="1" spans="1:9">
      <c r="A38" s="310">
        <v>2010502</v>
      </c>
      <c r="B38" s="321" t="s">
        <v>50</v>
      </c>
      <c r="C38" s="322">
        <v>96</v>
      </c>
      <c r="D38" s="323"/>
      <c r="E38" s="322">
        <v>81.95</v>
      </c>
      <c r="F38" s="324">
        <f t="shared" si="6"/>
        <v>81.95</v>
      </c>
      <c r="G38" s="325">
        <f t="shared" si="4"/>
        <v>-0.146354166666667</v>
      </c>
      <c r="H38" s="326"/>
      <c r="I38" s="316">
        <f t="shared" si="5"/>
        <v>7</v>
      </c>
    </row>
    <row r="39" s="291" customFormat="1" ht="24.95" customHeight="1" spans="1:9">
      <c r="A39" s="310">
        <v>2010504</v>
      </c>
      <c r="B39" s="321" t="s">
        <v>76</v>
      </c>
      <c r="C39" s="322">
        <v>1389</v>
      </c>
      <c r="D39" s="323"/>
      <c r="E39" s="322">
        <v>1590.44</v>
      </c>
      <c r="F39" s="324">
        <f t="shared" si="6"/>
        <v>1590.44</v>
      </c>
      <c r="G39" s="325">
        <f t="shared" si="4"/>
        <v>0.145025197984161</v>
      </c>
      <c r="H39" s="326"/>
      <c r="I39" s="316">
        <f t="shared" si="5"/>
        <v>7</v>
      </c>
    </row>
    <row r="40" s="291" customFormat="1" ht="24.95" customHeight="1" spans="1:9">
      <c r="A40" s="310">
        <v>2010506</v>
      </c>
      <c r="B40" s="321" t="s">
        <v>77</v>
      </c>
      <c r="C40" s="322">
        <v>134</v>
      </c>
      <c r="D40" s="323"/>
      <c r="E40" s="322">
        <v>64.99</v>
      </c>
      <c r="F40" s="324">
        <f t="shared" si="6"/>
        <v>64.99</v>
      </c>
      <c r="G40" s="325">
        <f t="shared" si="4"/>
        <v>-0.515</v>
      </c>
      <c r="H40" s="326" t="s">
        <v>931</v>
      </c>
      <c r="I40" s="316">
        <f t="shared" si="5"/>
        <v>7</v>
      </c>
    </row>
    <row r="41" s="291" customFormat="1" ht="51.95" customHeight="1" spans="1:9">
      <c r="A41" s="310">
        <v>2010507</v>
      </c>
      <c r="B41" s="321" t="s">
        <v>78</v>
      </c>
      <c r="C41" s="322">
        <v>91</v>
      </c>
      <c r="D41" s="323"/>
      <c r="E41" s="322">
        <v>359.86</v>
      </c>
      <c r="F41" s="324">
        <f t="shared" si="6"/>
        <v>359.86</v>
      </c>
      <c r="G41" s="325">
        <f t="shared" si="4"/>
        <v>2.95450549450549</v>
      </c>
      <c r="H41" s="326" t="s">
        <v>935</v>
      </c>
      <c r="I41" s="316">
        <f t="shared" si="5"/>
        <v>7</v>
      </c>
    </row>
    <row r="42" s="291" customFormat="1" ht="24.95" customHeight="1" spans="1:9">
      <c r="A42" s="310">
        <v>2010508</v>
      </c>
      <c r="B42" s="321" t="s">
        <v>79</v>
      </c>
      <c r="C42" s="322">
        <v>214</v>
      </c>
      <c r="D42" s="323"/>
      <c r="E42" s="322">
        <v>140.67</v>
      </c>
      <c r="F42" s="324">
        <f t="shared" si="6"/>
        <v>140.67</v>
      </c>
      <c r="G42" s="325">
        <f t="shared" si="4"/>
        <v>-0.342663551401869</v>
      </c>
      <c r="H42" s="326" t="s">
        <v>931</v>
      </c>
      <c r="I42" s="316">
        <f t="shared" si="5"/>
        <v>7</v>
      </c>
    </row>
    <row r="43" s="291" customFormat="1" ht="24.95" customHeight="1" spans="1:9">
      <c r="A43" s="310">
        <v>2010599</v>
      </c>
      <c r="B43" s="321" t="s">
        <v>80</v>
      </c>
      <c r="C43" s="322">
        <v>2434</v>
      </c>
      <c r="D43" s="323"/>
      <c r="E43" s="322">
        <v>2298.43</v>
      </c>
      <c r="F43" s="324">
        <f t="shared" si="6"/>
        <v>2298.43</v>
      </c>
      <c r="G43" s="325">
        <f t="shared" si="4"/>
        <v>-0.0556984387838949</v>
      </c>
      <c r="H43" s="326"/>
      <c r="I43" s="316">
        <f t="shared" si="5"/>
        <v>7</v>
      </c>
    </row>
    <row r="44" s="291" customFormat="1" ht="24.95" customHeight="1" spans="1:9">
      <c r="A44" s="310">
        <v>20106</v>
      </c>
      <c r="B44" s="317" t="s">
        <v>81</v>
      </c>
      <c r="C44" s="318">
        <f>SUM(C45:C51)</f>
        <v>13331</v>
      </c>
      <c r="D44" s="318"/>
      <c r="E44" s="318">
        <f>SUM(E45:E51)</f>
        <v>9025.37</v>
      </c>
      <c r="F44" s="319">
        <f t="shared" si="6"/>
        <v>9025.37</v>
      </c>
      <c r="G44" s="320">
        <f t="shared" si="4"/>
        <v>-0.322978771284975</v>
      </c>
      <c r="H44" s="318"/>
      <c r="I44" s="316">
        <f t="shared" si="5"/>
        <v>5</v>
      </c>
    </row>
    <row r="45" s="291" customFormat="1" ht="24.95" customHeight="1" spans="1:9">
      <c r="A45" s="310">
        <v>2010601</v>
      </c>
      <c r="B45" s="321" t="s">
        <v>49</v>
      </c>
      <c r="C45" s="322">
        <v>3302</v>
      </c>
      <c r="D45" s="323"/>
      <c r="E45" s="322">
        <v>2651.37</v>
      </c>
      <c r="F45" s="324">
        <f t="shared" si="6"/>
        <v>2651.37</v>
      </c>
      <c r="G45" s="325">
        <f t="shared" si="4"/>
        <v>-0.197041187159297</v>
      </c>
      <c r="H45" s="326"/>
      <c r="I45" s="316">
        <f t="shared" si="5"/>
        <v>7</v>
      </c>
    </row>
    <row r="46" s="291" customFormat="1" ht="51" customHeight="1" spans="1:9">
      <c r="A46" s="310">
        <v>2010602</v>
      </c>
      <c r="B46" s="321" t="s">
        <v>50</v>
      </c>
      <c r="C46" s="322">
        <v>282</v>
      </c>
      <c r="D46" s="323"/>
      <c r="E46" s="322">
        <v>188.48</v>
      </c>
      <c r="F46" s="324">
        <f t="shared" si="6"/>
        <v>188.48</v>
      </c>
      <c r="G46" s="325">
        <f t="shared" si="4"/>
        <v>-0.331631205673759</v>
      </c>
      <c r="H46" s="326" t="s">
        <v>936</v>
      </c>
      <c r="I46" s="316">
        <f t="shared" si="5"/>
        <v>7</v>
      </c>
    </row>
    <row r="47" s="291" customFormat="1" ht="62.1" customHeight="1" spans="1:9">
      <c r="A47" s="310">
        <v>2010604</v>
      </c>
      <c r="B47" s="321" t="s">
        <v>83</v>
      </c>
      <c r="C47" s="322">
        <v>97</v>
      </c>
      <c r="D47" s="323"/>
      <c r="E47" s="322">
        <v>192.5</v>
      </c>
      <c r="F47" s="324">
        <f t="shared" si="6"/>
        <v>192.5</v>
      </c>
      <c r="G47" s="325">
        <f t="shared" si="4"/>
        <v>0.984536082474227</v>
      </c>
      <c r="H47" s="326" t="s">
        <v>937</v>
      </c>
      <c r="I47" s="316">
        <f t="shared" si="5"/>
        <v>7</v>
      </c>
    </row>
    <row r="48" s="291" customFormat="1" ht="62.1" customHeight="1" spans="1:9">
      <c r="A48" s="310">
        <v>2010605</v>
      </c>
      <c r="B48" s="321" t="s">
        <v>84</v>
      </c>
      <c r="C48" s="322">
        <v>746</v>
      </c>
      <c r="D48" s="323"/>
      <c r="E48" s="322">
        <v>949</v>
      </c>
      <c r="F48" s="324">
        <f t="shared" si="6"/>
        <v>949</v>
      </c>
      <c r="G48" s="325">
        <f t="shared" si="4"/>
        <v>0.272117962466488</v>
      </c>
      <c r="H48" s="326" t="s">
        <v>938</v>
      </c>
      <c r="I48" s="316">
        <f t="shared" si="5"/>
        <v>7</v>
      </c>
    </row>
    <row r="49" s="291" customFormat="1" ht="35.1" customHeight="1" spans="1:9">
      <c r="A49" s="310">
        <v>2010607</v>
      </c>
      <c r="B49" s="321" t="s">
        <v>85</v>
      </c>
      <c r="C49" s="322">
        <v>70</v>
      </c>
      <c r="D49" s="323"/>
      <c r="E49" s="322">
        <v>101.5</v>
      </c>
      <c r="F49" s="324">
        <f t="shared" si="6"/>
        <v>101.5</v>
      </c>
      <c r="G49" s="325">
        <f t="shared" si="4"/>
        <v>0.45</v>
      </c>
      <c r="H49" s="326" t="s">
        <v>939</v>
      </c>
      <c r="I49" s="316">
        <f t="shared" si="5"/>
        <v>7</v>
      </c>
    </row>
    <row r="50" s="291" customFormat="1" ht="24.95" customHeight="1" spans="1:9">
      <c r="A50" s="310">
        <v>2010650</v>
      </c>
      <c r="B50" s="321" t="s">
        <v>65</v>
      </c>
      <c r="C50" s="322">
        <v>2472</v>
      </c>
      <c r="D50" s="323"/>
      <c r="E50" s="322">
        <v>2328.49</v>
      </c>
      <c r="F50" s="324">
        <f t="shared" si="6"/>
        <v>2328.49</v>
      </c>
      <c r="G50" s="325">
        <f t="shared" si="4"/>
        <v>-0.0580542071197412</v>
      </c>
      <c r="H50" s="326"/>
      <c r="I50" s="316">
        <f t="shared" si="5"/>
        <v>7</v>
      </c>
    </row>
    <row r="51" s="291" customFormat="1" ht="72" customHeight="1" spans="1:9">
      <c r="A51" s="310">
        <v>2010699</v>
      </c>
      <c r="B51" s="321" t="s">
        <v>86</v>
      </c>
      <c r="C51" s="322">
        <v>6362</v>
      </c>
      <c r="D51" s="323"/>
      <c r="E51" s="322">
        <v>2614.03</v>
      </c>
      <c r="F51" s="324">
        <f t="shared" si="6"/>
        <v>2614.03</v>
      </c>
      <c r="G51" s="325">
        <f t="shared" si="4"/>
        <v>-0.589118201823326</v>
      </c>
      <c r="H51" s="326" t="s">
        <v>940</v>
      </c>
      <c r="I51" s="316">
        <f t="shared" si="5"/>
        <v>7</v>
      </c>
    </row>
    <row r="52" s="291" customFormat="1" ht="24.95" customHeight="1" spans="1:9">
      <c r="A52" s="310">
        <v>20107</v>
      </c>
      <c r="B52" s="317" t="s">
        <v>88</v>
      </c>
      <c r="C52" s="318">
        <f>SUM(C53:C55)</f>
        <v>1162</v>
      </c>
      <c r="D52" s="318"/>
      <c r="E52" s="318">
        <f>SUM(E53:E55)</f>
        <v>1000</v>
      </c>
      <c r="F52" s="319">
        <f t="shared" si="6"/>
        <v>1000</v>
      </c>
      <c r="G52" s="320">
        <f t="shared" si="4"/>
        <v>-0.139414802065404</v>
      </c>
      <c r="H52" s="318"/>
      <c r="I52" s="316">
        <f t="shared" si="5"/>
        <v>5</v>
      </c>
    </row>
    <row r="53" s="291" customFormat="1" ht="24.95" customHeight="1" spans="1:9">
      <c r="A53" s="310">
        <v>2010702</v>
      </c>
      <c r="B53" s="327" t="s">
        <v>50</v>
      </c>
      <c r="C53" s="322"/>
      <c r="D53" s="323"/>
      <c r="E53" s="322"/>
      <c r="F53" s="324"/>
      <c r="G53" s="328"/>
      <c r="H53" s="326"/>
      <c r="I53" s="316">
        <f t="shared" si="5"/>
        <v>7</v>
      </c>
    </row>
    <row r="54" s="291" customFormat="1" ht="24.95" customHeight="1" spans="1:9">
      <c r="A54" s="310">
        <v>2010708</v>
      </c>
      <c r="B54" s="321" t="s">
        <v>89</v>
      </c>
      <c r="C54" s="322">
        <v>1162</v>
      </c>
      <c r="D54" s="323"/>
      <c r="E54" s="322">
        <v>1000</v>
      </c>
      <c r="F54" s="324">
        <f t="shared" si="6"/>
        <v>1000</v>
      </c>
      <c r="G54" s="325">
        <f t="shared" si="4"/>
        <v>-0.139414802065404</v>
      </c>
      <c r="H54" s="326"/>
      <c r="I54" s="316">
        <f t="shared" si="5"/>
        <v>7</v>
      </c>
    </row>
    <row r="55" s="291" customFormat="1" ht="24.95" customHeight="1" spans="1:9">
      <c r="A55" s="310">
        <v>2010799</v>
      </c>
      <c r="B55" s="327" t="s">
        <v>91</v>
      </c>
      <c r="C55" s="322"/>
      <c r="D55" s="323"/>
      <c r="E55" s="322"/>
      <c r="F55" s="324"/>
      <c r="G55" s="328"/>
      <c r="H55" s="326"/>
      <c r="I55" s="316">
        <f t="shared" si="5"/>
        <v>7</v>
      </c>
    </row>
    <row r="56" s="291" customFormat="1" ht="24.95" customHeight="1" spans="1:9">
      <c r="A56" s="310">
        <v>20108</v>
      </c>
      <c r="B56" s="317" t="s">
        <v>92</v>
      </c>
      <c r="C56" s="318">
        <f>SUM(C57:C61)</f>
        <v>3497</v>
      </c>
      <c r="D56" s="318"/>
      <c r="E56" s="318">
        <f>SUM(E57:E60)</f>
        <v>2859.73</v>
      </c>
      <c r="F56" s="319">
        <f t="shared" si="6"/>
        <v>2859.73</v>
      </c>
      <c r="G56" s="320">
        <f t="shared" si="4"/>
        <v>-0.182233342865313</v>
      </c>
      <c r="H56" s="318"/>
      <c r="I56" s="316">
        <f t="shared" si="5"/>
        <v>5</v>
      </c>
    </row>
    <row r="57" s="291" customFormat="1" ht="24.95" customHeight="1" spans="1:9">
      <c r="A57" s="310">
        <v>2010801</v>
      </c>
      <c r="B57" s="321" t="s">
        <v>49</v>
      </c>
      <c r="C57" s="322">
        <v>2195</v>
      </c>
      <c r="D57" s="323"/>
      <c r="E57" s="322">
        <v>2073.45</v>
      </c>
      <c r="F57" s="324">
        <f t="shared" si="6"/>
        <v>2073.45</v>
      </c>
      <c r="G57" s="325">
        <f t="shared" si="4"/>
        <v>-0.0553758542141231</v>
      </c>
      <c r="H57" s="326"/>
      <c r="I57" s="316">
        <f t="shared" si="5"/>
        <v>7</v>
      </c>
    </row>
    <row r="58" s="291" customFormat="1" ht="24.95" customHeight="1" spans="1:9">
      <c r="A58" s="310">
        <v>2010802</v>
      </c>
      <c r="B58" s="321" t="s">
        <v>50</v>
      </c>
      <c r="C58" s="322">
        <v>60</v>
      </c>
      <c r="D58" s="323"/>
      <c r="E58" s="322">
        <v>60.96</v>
      </c>
      <c r="F58" s="324">
        <f t="shared" si="6"/>
        <v>60.96</v>
      </c>
      <c r="G58" s="325">
        <f t="shared" si="4"/>
        <v>0.016</v>
      </c>
      <c r="H58" s="326"/>
      <c r="I58" s="316">
        <f t="shared" si="5"/>
        <v>7</v>
      </c>
    </row>
    <row r="59" s="291" customFormat="1" ht="24.95" customHeight="1" spans="1:9">
      <c r="A59" s="310">
        <v>2010804</v>
      </c>
      <c r="B59" s="321" t="s">
        <v>93</v>
      </c>
      <c r="C59" s="322">
        <v>65</v>
      </c>
      <c r="D59" s="323"/>
      <c r="E59" s="322">
        <v>70.08</v>
      </c>
      <c r="F59" s="324">
        <f t="shared" si="6"/>
        <v>70.08</v>
      </c>
      <c r="G59" s="325">
        <f t="shared" si="4"/>
        <v>0.078153846153846</v>
      </c>
      <c r="H59" s="326"/>
      <c r="I59" s="316">
        <f t="shared" si="5"/>
        <v>7</v>
      </c>
    </row>
    <row r="60" s="291" customFormat="1" ht="24.95" customHeight="1" spans="1:9">
      <c r="A60" s="310">
        <v>2010850</v>
      </c>
      <c r="B60" s="321" t="s">
        <v>65</v>
      </c>
      <c r="C60" s="322">
        <v>677</v>
      </c>
      <c r="D60" s="323"/>
      <c r="E60" s="322">
        <v>655.24</v>
      </c>
      <c r="F60" s="324">
        <f t="shared" si="6"/>
        <v>655.24</v>
      </c>
      <c r="G60" s="325">
        <f t="shared" si="4"/>
        <v>-0.0321418020679468</v>
      </c>
      <c r="H60" s="326"/>
      <c r="I60" s="316">
        <f t="shared" si="5"/>
        <v>7</v>
      </c>
    </row>
    <row r="61" s="291" customFormat="1" ht="54.95" customHeight="1" spans="1:9">
      <c r="A61" s="310">
        <v>2010899</v>
      </c>
      <c r="B61" s="321" t="s">
        <v>95</v>
      </c>
      <c r="C61" s="322">
        <v>500</v>
      </c>
      <c r="D61" s="323"/>
      <c r="E61" s="322"/>
      <c r="F61" s="324"/>
      <c r="G61" s="325">
        <f t="shared" si="4"/>
        <v>-1</v>
      </c>
      <c r="H61" s="326" t="s">
        <v>941</v>
      </c>
      <c r="I61" s="316"/>
    </row>
    <row r="62" s="291" customFormat="1" ht="24.95" customHeight="1" spans="1:9">
      <c r="A62" s="310">
        <v>20110</v>
      </c>
      <c r="B62" s="317" t="s">
        <v>97</v>
      </c>
      <c r="C62" s="318">
        <f>SUM(C64:C68)</f>
        <v>3886</v>
      </c>
      <c r="D62" s="318"/>
      <c r="E62" s="318">
        <f>SUM(E63:E68)</f>
        <v>26057.97</v>
      </c>
      <c r="F62" s="319">
        <f t="shared" ref="F62:F125" si="7">D62+E62</f>
        <v>26057.97</v>
      </c>
      <c r="G62" s="320">
        <f t="shared" si="4"/>
        <v>5.70560216160576</v>
      </c>
      <c r="H62" s="330"/>
      <c r="I62" s="316">
        <f t="shared" ref="I62:I75" si="8">LEN(A62)</f>
        <v>5</v>
      </c>
    </row>
    <row r="63" s="291" customFormat="1" ht="55.5" customHeight="1" spans="1:9">
      <c r="A63" s="310">
        <v>2011008</v>
      </c>
      <c r="B63" s="321" t="s">
        <v>99</v>
      </c>
      <c r="C63" s="322"/>
      <c r="D63" s="323"/>
      <c r="E63" s="322">
        <v>22110.66</v>
      </c>
      <c r="F63" s="324">
        <f t="shared" si="7"/>
        <v>22110.66</v>
      </c>
      <c r="G63" s="328" t="s">
        <v>20</v>
      </c>
      <c r="H63" s="326" t="s">
        <v>942</v>
      </c>
      <c r="I63" s="316">
        <v>7</v>
      </c>
    </row>
    <row r="64" s="291" customFormat="1" ht="24.95" customHeight="1" spans="1:9">
      <c r="A64" s="310">
        <v>2011001</v>
      </c>
      <c r="B64" s="327" t="s">
        <v>49</v>
      </c>
      <c r="C64" s="322"/>
      <c r="D64" s="323"/>
      <c r="E64" s="322"/>
      <c r="F64" s="324"/>
      <c r="G64" s="328"/>
      <c r="H64" s="326"/>
      <c r="I64" s="316">
        <f t="shared" si="8"/>
        <v>7</v>
      </c>
    </row>
    <row r="65" s="291" customFormat="1" ht="24.95" customHeight="1" spans="1:9">
      <c r="A65" s="310">
        <v>2011006</v>
      </c>
      <c r="B65" s="327" t="s">
        <v>98</v>
      </c>
      <c r="C65" s="322"/>
      <c r="D65" s="323"/>
      <c r="E65" s="322"/>
      <c r="F65" s="324"/>
      <c r="G65" s="328"/>
      <c r="H65" s="326"/>
      <c r="I65" s="316">
        <f t="shared" si="8"/>
        <v>7</v>
      </c>
    </row>
    <row r="66" s="291" customFormat="1" ht="24.95" customHeight="1" spans="1:9">
      <c r="A66" s="310">
        <v>2011008</v>
      </c>
      <c r="B66" s="321" t="s">
        <v>99</v>
      </c>
      <c r="C66" s="322"/>
      <c r="D66" s="323"/>
      <c r="E66" s="322"/>
      <c r="F66" s="324"/>
      <c r="G66" s="328"/>
      <c r="H66" s="326"/>
      <c r="I66" s="316">
        <f t="shared" si="8"/>
        <v>7</v>
      </c>
    </row>
    <row r="67" s="291" customFormat="1" ht="54" customHeight="1" spans="1:9">
      <c r="A67" s="310">
        <v>2011050</v>
      </c>
      <c r="B67" s="321" t="s">
        <v>65</v>
      </c>
      <c r="C67" s="322">
        <v>2241</v>
      </c>
      <c r="D67" s="323"/>
      <c r="E67" s="322">
        <v>2371.72</v>
      </c>
      <c r="F67" s="324">
        <f t="shared" si="7"/>
        <v>2371.72</v>
      </c>
      <c r="G67" s="325">
        <f t="shared" si="4"/>
        <v>0.0583311021865238</v>
      </c>
      <c r="H67" s="326"/>
      <c r="I67" s="316">
        <f t="shared" si="8"/>
        <v>7</v>
      </c>
    </row>
    <row r="68" s="291" customFormat="1" ht="48.75" customHeight="1" spans="1:9">
      <c r="A68" s="310">
        <v>2011099</v>
      </c>
      <c r="B68" s="321" t="s">
        <v>101</v>
      </c>
      <c r="C68" s="322">
        <v>1645</v>
      </c>
      <c r="D68" s="323"/>
      <c r="E68" s="322">
        <v>1575.59</v>
      </c>
      <c r="F68" s="324">
        <f t="shared" si="7"/>
        <v>1575.59</v>
      </c>
      <c r="G68" s="325">
        <f t="shared" si="4"/>
        <v>-0.04219452887538</v>
      </c>
      <c r="H68" s="326" t="s">
        <v>943</v>
      </c>
      <c r="I68" s="316">
        <f t="shared" si="8"/>
        <v>7</v>
      </c>
    </row>
    <row r="69" s="291" customFormat="1" ht="24.95" customHeight="1" spans="1:9">
      <c r="A69" s="310">
        <v>20111</v>
      </c>
      <c r="B69" s="317" t="s">
        <v>102</v>
      </c>
      <c r="C69" s="318">
        <f>SUM(C70:C72)</f>
        <v>6108</v>
      </c>
      <c r="D69" s="318"/>
      <c r="E69" s="318">
        <f>SUM(E70:E72)</f>
        <v>5375.12</v>
      </c>
      <c r="F69" s="319">
        <f t="shared" si="7"/>
        <v>5375.12</v>
      </c>
      <c r="G69" s="320">
        <f t="shared" si="4"/>
        <v>-0.119986902423052</v>
      </c>
      <c r="H69" s="330"/>
      <c r="I69" s="316">
        <f t="shared" si="8"/>
        <v>5</v>
      </c>
    </row>
    <row r="70" s="291" customFormat="1" ht="24.95" customHeight="1" spans="1:9">
      <c r="A70" s="310">
        <v>2011101</v>
      </c>
      <c r="B70" s="321" t="s">
        <v>49</v>
      </c>
      <c r="C70" s="322">
        <v>3833</v>
      </c>
      <c r="D70" s="323"/>
      <c r="E70" s="322">
        <v>3607.46</v>
      </c>
      <c r="F70" s="324">
        <f t="shared" si="7"/>
        <v>3607.46</v>
      </c>
      <c r="G70" s="325">
        <f t="shared" si="4"/>
        <v>-0.0588416384033394</v>
      </c>
      <c r="H70" s="326"/>
      <c r="I70" s="316">
        <f t="shared" si="8"/>
        <v>7</v>
      </c>
    </row>
    <row r="71" s="291" customFormat="1" ht="59.1" customHeight="1" spans="1:9">
      <c r="A71" s="310">
        <v>2011102</v>
      </c>
      <c r="B71" s="321" t="s">
        <v>50</v>
      </c>
      <c r="C71" s="322">
        <v>219</v>
      </c>
      <c r="D71" s="323"/>
      <c r="E71" s="322">
        <v>99.94</v>
      </c>
      <c r="F71" s="324">
        <f t="shared" si="7"/>
        <v>99.94</v>
      </c>
      <c r="G71" s="325">
        <f t="shared" ref="G71:G134" si="9">F71/C71-1</f>
        <v>-0.54365296803653</v>
      </c>
      <c r="H71" s="326" t="s">
        <v>931</v>
      </c>
      <c r="I71" s="316">
        <f t="shared" si="8"/>
        <v>7</v>
      </c>
    </row>
    <row r="72" s="291" customFormat="1" ht="27.75" customHeight="1" spans="1:9">
      <c r="A72" s="310">
        <v>2011199</v>
      </c>
      <c r="B72" s="321" t="s">
        <v>104</v>
      </c>
      <c r="C72" s="322">
        <v>2056</v>
      </c>
      <c r="D72" s="323"/>
      <c r="E72" s="322">
        <v>1667.72</v>
      </c>
      <c r="F72" s="324">
        <f t="shared" si="7"/>
        <v>1667.72</v>
      </c>
      <c r="G72" s="325">
        <f t="shared" si="9"/>
        <v>-0.188852140077821</v>
      </c>
      <c r="H72" s="326"/>
      <c r="I72" s="316">
        <f t="shared" si="8"/>
        <v>7</v>
      </c>
    </row>
    <row r="73" s="291" customFormat="1" ht="24.95" customHeight="1" spans="1:9">
      <c r="A73" s="310">
        <v>20113</v>
      </c>
      <c r="B73" s="317" t="s">
        <v>106</v>
      </c>
      <c r="C73" s="318">
        <f>SUM(C74:C80)</f>
        <v>14124</v>
      </c>
      <c r="D73" s="318"/>
      <c r="E73" s="318">
        <f>SUM(E74:E80)</f>
        <v>13125.02</v>
      </c>
      <c r="F73" s="319">
        <f t="shared" si="7"/>
        <v>13125.02</v>
      </c>
      <c r="G73" s="320">
        <f t="shared" si="9"/>
        <v>-0.0707292551685075</v>
      </c>
      <c r="H73" s="330"/>
      <c r="I73" s="316">
        <f t="shared" si="8"/>
        <v>5</v>
      </c>
    </row>
    <row r="74" s="291" customFormat="1" ht="56.1" customHeight="1" spans="1:9">
      <c r="A74" s="310">
        <v>2011301</v>
      </c>
      <c r="B74" s="321" t="s">
        <v>49</v>
      </c>
      <c r="C74" s="322">
        <v>4509</v>
      </c>
      <c r="D74" s="323"/>
      <c r="E74" s="322">
        <v>3790.2</v>
      </c>
      <c r="F74" s="324">
        <f t="shared" si="7"/>
        <v>3790.2</v>
      </c>
      <c r="G74" s="325">
        <f t="shared" si="9"/>
        <v>-0.159414504324684</v>
      </c>
      <c r="H74" s="326" t="s">
        <v>944</v>
      </c>
      <c r="I74" s="316">
        <f t="shared" si="8"/>
        <v>7</v>
      </c>
    </row>
    <row r="75" s="291" customFormat="1" ht="56.1" customHeight="1" spans="1:9">
      <c r="A75" s="310">
        <v>2011302</v>
      </c>
      <c r="B75" s="321" t="s">
        <v>50</v>
      </c>
      <c r="C75" s="322">
        <v>633</v>
      </c>
      <c r="D75" s="323"/>
      <c r="E75" s="322">
        <v>339.18</v>
      </c>
      <c r="F75" s="324">
        <f t="shared" si="7"/>
        <v>339.18</v>
      </c>
      <c r="G75" s="325">
        <f t="shared" si="9"/>
        <v>-0.464170616113744</v>
      </c>
      <c r="H75" s="326" t="s">
        <v>931</v>
      </c>
      <c r="I75" s="316">
        <f t="shared" si="8"/>
        <v>7</v>
      </c>
    </row>
    <row r="76" s="291" customFormat="1" ht="41.1" customHeight="1" spans="1:9">
      <c r="A76" s="310">
        <v>2011304</v>
      </c>
      <c r="B76" s="321" t="s">
        <v>945</v>
      </c>
      <c r="C76" s="322"/>
      <c r="D76" s="323"/>
      <c r="E76" s="322">
        <v>31.56</v>
      </c>
      <c r="F76" s="324">
        <f t="shared" si="7"/>
        <v>31.56</v>
      </c>
      <c r="G76" s="328" t="s">
        <v>20</v>
      </c>
      <c r="H76" s="326" t="s">
        <v>946</v>
      </c>
      <c r="I76" s="316">
        <v>7</v>
      </c>
    </row>
    <row r="77" s="291" customFormat="1" ht="24.95" customHeight="1" spans="1:9">
      <c r="A77" s="310">
        <v>2011307</v>
      </c>
      <c r="B77" s="321" t="s">
        <v>108</v>
      </c>
      <c r="C77" s="322">
        <v>677</v>
      </c>
      <c r="D77" s="323"/>
      <c r="E77" s="322">
        <v>788.2</v>
      </c>
      <c r="F77" s="324">
        <f t="shared" si="7"/>
        <v>788.2</v>
      </c>
      <c r="G77" s="325">
        <f t="shared" si="9"/>
        <v>0.164254062038405</v>
      </c>
      <c r="H77" s="326"/>
      <c r="I77" s="316">
        <f t="shared" ref="I77:I124" si="10">LEN(A77)</f>
        <v>7</v>
      </c>
    </row>
    <row r="78" s="291" customFormat="1" ht="24.95" customHeight="1" spans="1:9">
      <c r="A78" s="310">
        <v>2011308</v>
      </c>
      <c r="B78" s="321" t="s">
        <v>109</v>
      </c>
      <c r="C78" s="322">
        <v>50</v>
      </c>
      <c r="D78" s="323"/>
      <c r="E78" s="322">
        <v>61</v>
      </c>
      <c r="F78" s="324">
        <f t="shared" si="7"/>
        <v>61</v>
      </c>
      <c r="G78" s="325">
        <f t="shared" si="9"/>
        <v>0.22</v>
      </c>
      <c r="H78" s="326"/>
      <c r="I78" s="316">
        <f t="shared" si="10"/>
        <v>7</v>
      </c>
    </row>
    <row r="79" s="291" customFormat="1" ht="24.95" customHeight="1" spans="1:9">
      <c r="A79" s="310">
        <v>2011350</v>
      </c>
      <c r="B79" s="321" t="s">
        <v>65</v>
      </c>
      <c r="C79" s="322">
        <v>1269</v>
      </c>
      <c r="D79" s="323"/>
      <c r="E79" s="322">
        <v>1113.98</v>
      </c>
      <c r="F79" s="324">
        <f t="shared" si="7"/>
        <v>1113.98</v>
      </c>
      <c r="G79" s="325">
        <f t="shared" si="9"/>
        <v>-0.122159180457053</v>
      </c>
      <c r="H79" s="326"/>
      <c r="I79" s="316">
        <f t="shared" si="10"/>
        <v>7</v>
      </c>
    </row>
    <row r="80" s="291" customFormat="1" ht="24.95" customHeight="1" spans="1:9">
      <c r="A80" s="310">
        <v>2011399</v>
      </c>
      <c r="B80" s="321" t="s">
        <v>111</v>
      </c>
      <c r="C80" s="322">
        <v>6986</v>
      </c>
      <c r="D80" s="323"/>
      <c r="E80" s="322">
        <v>7000.9</v>
      </c>
      <c r="F80" s="324">
        <f t="shared" si="7"/>
        <v>7000.9</v>
      </c>
      <c r="G80" s="325">
        <f t="shared" si="9"/>
        <v>0.0021328371027769</v>
      </c>
      <c r="H80" s="326"/>
      <c r="I80" s="316">
        <f t="shared" si="10"/>
        <v>7</v>
      </c>
    </row>
    <row r="81" s="291" customFormat="1" ht="24.95" customHeight="1" spans="1:9">
      <c r="A81" s="331">
        <v>20115</v>
      </c>
      <c r="B81" s="332" t="s">
        <v>112</v>
      </c>
      <c r="C81" s="318"/>
      <c r="D81" s="318"/>
      <c r="E81" s="318"/>
      <c r="F81" s="319"/>
      <c r="G81" s="333"/>
      <c r="H81" s="330"/>
      <c r="I81" s="316">
        <f t="shared" si="10"/>
        <v>5</v>
      </c>
    </row>
    <row r="82" s="291" customFormat="1" ht="24.95" customHeight="1" spans="1:9">
      <c r="A82" s="331">
        <v>2011501</v>
      </c>
      <c r="B82" s="327" t="s">
        <v>49</v>
      </c>
      <c r="C82" s="322"/>
      <c r="D82" s="323"/>
      <c r="E82" s="322"/>
      <c r="F82" s="324"/>
      <c r="G82" s="328"/>
      <c r="H82" s="326"/>
      <c r="I82" s="316">
        <f t="shared" si="10"/>
        <v>7</v>
      </c>
    </row>
    <row r="83" s="291" customFormat="1" ht="24.95" customHeight="1" spans="1:9">
      <c r="A83" s="331">
        <v>2011506</v>
      </c>
      <c r="B83" s="327" t="s">
        <v>113</v>
      </c>
      <c r="C83" s="322"/>
      <c r="D83" s="323"/>
      <c r="E83" s="322"/>
      <c r="F83" s="324"/>
      <c r="G83" s="328"/>
      <c r="H83" s="326"/>
      <c r="I83" s="316">
        <f t="shared" si="10"/>
        <v>7</v>
      </c>
    </row>
    <row r="84" s="291" customFormat="1" ht="24.95" customHeight="1" spans="1:9">
      <c r="A84" s="331">
        <v>2011550</v>
      </c>
      <c r="B84" s="327" t="s">
        <v>65</v>
      </c>
      <c r="C84" s="322"/>
      <c r="D84" s="323"/>
      <c r="E84" s="322"/>
      <c r="F84" s="324"/>
      <c r="G84" s="328"/>
      <c r="H84" s="326"/>
      <c r="I84" s="316">
        <f t="shared" si="10"/>
        <v>7</v>
      </c>
    </row>
    <row r="85" s="291" customFormat="1" ht="45.95" customHeight="1" spans="1:9">
      <c r="A85" s="331">
        <v>20117</v>
      </c>
      <c r="B85" s="332" t="s">
        <v>114</v>
      </c>
      <c r="C85" s="318"/>
      <c r="D85" s="318"/>
      <c r="E85" s="318"/>
      <c r="F85" s="319"/>
      <c r="G85" s="333"/>
      <c r="H85" s="330"/>
      <c r="I85" s="316">
        <f t="shared" si="10"/>
        <v>5</v>
      </c>
    </row>
    <row r="86" s="291" customFormat="1" ht="24.95" customHeight="1" spans="1:9">
      <c r="A86" s="331">
        <v>2011701</v>
      </c>
      <c r="B86" s="327" t="s">
        <v>49</v>
      </c>
      <c r="C86" s="322"/>
      <c r="D86" s="323"/>
      <c r="E86" s="322"/>
      <c r="F86" s="324"/>
      <c r="G86" s="328"/>
      <c r="H86" s="326"/>
      <c r="I86" s="316">
        <f t="shared" si="10"/>
        <v>7</v>
      </c>
    </row>
    <row r="87" s="291" customFormat="1" ht="48.95" customHeight="1" spans="1:9">
      <c r="A87" s="331">
        <v>2011706</v>
      </c>
      <c r="B87" s="327" t="s">
        <v>115</v>
      </c>
      <c r="C87" s="322"/>
      <c r="D87" s="323"/>
      <c r="E87" s="322"/>
      <c r="F87" s="324"/>
      <c r="G87" s="328"/>
      <c r="H87" s="326"/>
      <c r="I87" s="316">
        <f t="shared" si="10"/>
        <v>7</v>
      </c>
    </row>
    <row r="88" s="291" customFormat="1" ht="48.95" customHeight="1" spans="1:9">
      <c r="A88" s="331">
        <v>2011799</v>
      </c>
      <c r="B88" s="327" t="s">
        <v>116</v>
      </c>
      <c r="C88" s="322"/>
      <c r="D88" s="323"/>
      <c r="E88" s="322"/>
      <c r="F88" s="324"/>
      <c r="G88" s="328"/>
      <c r="H88" s="326"/>
      <c r="I88" s="316">
        <f t="shared" si="10"/>
        <v>7</v>
      </c>
    </row>
    <row r="89" s="291" customFormat="1" ht="24.95" customHeight="1" spans="1:9">
      <c r="A89" s="310">
        <v>20123</v>
      </c>
      <c r="B89" s="317" t="s">
        <v>117</v>
      </c>
      <c r="C89" s="318">
        <f>C90</f>
        <v>8</v>
      </c>
      <c r="D89" s="318"/>
      <c r="E89" s="318">
        <f>E90</f>
        <v>3.35</v>
      </c>
      <c r="F89" s="319">
        <f t="shared" si="7"/>
        <v>3.35</v>
      </c>
      <c r="G89" s="320">
        <f t="shared" si="9"/>
        <v>-0.58125</v>
      </c>
      <c r="H89" s="330"/>
      <c r="I89" s="316">
        <f t="shared" si="10"/>
        <v>5</v>
      </c>
    </row>
    <row r="90" s="291" customFormat="1" ht="24.95" customHeight="1" spans="1:9">
      <c r="A90" s="310">
        <v>2012304</v>
      </c>
      <c r="B90" s="321" t="s">
        <v>118</v>
      </c>
      <c r="C90" s="322">
        <v>8</v>
      </c>
      <c r="D90" s="323"/>
      <c r="E90" s="322">
        <v>3.35</v>
      </c>
      <c r="F90" s="324">
        <f t="shared" si="7"/>
        <v>3.35</v>
      </c>
      <c r="G90" s="325">
        <f t="shared" si="9"/>
        <v>-0.58125</v>
      </c>
      <c r="H90" s="326"/>
      <c r="I90" s="316">
        <f t="shared" si="10"/>
        <v>7</v>
      </c>
    </row>
    <row r="91" s="291" customFormat="1" ht="24.95" customHeight="1" spans="1:9">
      <c r="A91" s="331">
        <v>20124</v>
      </c>
      <c r="B91" s="332" t="s">
        <v>119</v>
      </c>
      <c r="C91" s="318"/>
      <c r="D91" s="318"/>
      <c r="E91" s="318"/>
      <c r="F91" s="319"/>
      <c r="G91" s="333"/>
      <c r="H91" s="330"/>
      <c r="I91" s="316">
        <f t="shared" si="10"/>
        <v>5</v>
      </c>
    </row>
    <row r="92" s="291" customFormat="1" ht="24.95" customHeight="1" spans="1:9">
      <c r="A92" s="331">
        <v>2012404</v>
      </c>
      <c r="B92" s="327" t="s">
        <v>120</v>
      </c>
      <c r="C92" s="322"/>
      <c r="D92" s="323"/>
      <c r="E92" s="322"/>
      <c r="F92" s="324"/>
      <c r="G92" s="328"/>
      <c r="H92" s="326"/>
      <c r="I92" s="316">
        <f t="shared" si="10"/>
        <v>7</v>
      </c>
    </row>
    <row r="93" s="291" customFormat="1" ht="24.95" customHeight="1" spans="1:9">
      <c r="A93" s="310">
        <v>20125</v>
      </c>
      <c r="B93" s="317" t="s">
        <v>121</v>
      </c>
      <c r="C93" s="318">
        <f>SUM(C94:C95)</f>
        <v>553</v>
      </c>
      <c r="D93" s="318"/>
      <c r="E93" s="318">
        <f>SUM(E94:E95)</f>
        <v>577.79</v>
      </c>
      <c r="F93" s="319">
        <f t="shared" si="7"/>
        <v>577.79</v>
      </c>
      <c r="G93" s="320">
        <f t="shared" si="9"/>
        <v>0.0448282097649186</v>
      </c>
      <c r="H93" s="330"/>
      <c r="I93" s="316">
        <f t="shared" si="10"/>
        <v>5</v>
      </c>
    </row>
    <row r="94" s="291" customFormat="1" ht="38.25" customHeight="1" spans="1:9">
      <c r="A94" s="310">
        <v>2012502</v>
      </c>
      <c r="B94" s="321" t="s">
        <v>50</v>
      </c>
      <c r="C94" s="322">
        <v>38</v>
      </c>
      <c r="D94" s="323"/>
      <c r="E94" s="322">
        <v>14.79</v>
      </c>
      <c r="F94" s="324">
        <f t="shared" si="7"/>
        <v>14.79</v>
      </c>
      <c r="G94" s="325">
        <f t="shared" si="9"/>
        <v>-0.610789473684211</v>
      </c>
      <c r="H94" s="326" t="s">
        <v>931</v>
      </c>
      <c r="I94" s="316">
        <f t="shared" si="10"/>
        <v>7</v>
      </c>
    </row>
    <row r="95" s="291" customFormat="1" ht="24.95" customHeight="1" spans="1:9">
      <c r="A95" s="310">
        <v>2012599</v>
      </c>
      <c r="B95" s="321" t="s">
        <v>122</v>
      </c>
      <c r="C95" s="322">
        <v>515</v>
      </c>
      <c r="D95" s="323"/>
      <c r="E95" s="322">
        <v>563</v>
      </c>
      <c r="F95" s="324">
        <f t="shared" si="7"/>
        <v>563</v>
      </c>
      <c r="G95" s="325">
        <f t="shared" si="9"/>
        <v>0.0932038834951456</v>
      </c>
      <c r="H95" s="326"/>
      <c r="I95" s="316">
        <f t="shared" si="10"/>
        <v>7</v>
      </c>
    </row>
    <row r="96" s="291" customFormat="1" ht="24.95" customHeight="1" spans="1:9">
      <c r="A96" s="310">
        <v>20126</v>
      </c>
      <c r="B96" s="317" t="s">
        <v>123</v>
      </c>
      <c r="C96" s="318">
        <f>C97</f>
        <v>111</v>
      </c>
      <c r="D96" s="318"/>
      <c r="E96" s="318">
        <f>E97</f>
        <v>197.46</v>
      </c>
      <c r="F96" s="319">
        <f t="shared" si="7"/>
        <v>197.46</v>
      </c>
      <c r="G96" s="320">
        <f t="shared" si="9"/>
        <v>0.778918918918919</v>
      </c>
      <c r="H96" s="330"/>
      <c r="I96" s="316">
        <f t="shared" si="10"/>
        <v>5</v>
      </c>
    </row>
    <row r="97" s="291" customFormat="1" ht="24.95" customHeight="1" spans="1:9">
      <c r="A97" s="310">
        <v>2012604</v>
      </c>
      <c r="B97" s="321" t="s">
        <v>124</v>
      </c>
      <c r="C97" s="322">
        <v>111</v>
      </c>
      <c r="D97" s="323"/>
      <c r="E97" s="322">
        <v>197.46</v>
      </c>
      <c r="F97" s="324">
        <f t="shared" si="7"/>
        <v>197.46</v>
      </c>
      <c r="G97" s="325">
        <f t="shared" si="9"/>
        <v>0.778918918918919</v>
      </c>
      <c r="H97" s="326"/>
      <c r="I97" s="316">
        <f t="shared" si="10"/>
        <v>7</v>
      </c>
    </row>
    <row r="98" s="291" customFormat="1" ht="42" customHeight="1" spans="1:9">
      <c r="A98" s="310">
        <v>20128</v>
      </c>
      <c r="B98" s="317" t="s">
        <v>125</v>
      </c>
      <c r="C98" s="318">
        <f>SUM(C99:C103)</f>
        <v>883</v>
      </c>
      <c r="D98" s="318"/>
      <c r="E98" s="318">
        <f>SUM(E99:E103)</f>
        <v>827.51</v>
      </c>
      <c r="F98" s="319">
        <f t="shared" si="7"/>
        <v>827.51</v>
      </c>
      <c r="G98" s="320">
        <f t="shared" si="9"/>
        <v>-0.0628425821064551</v>
      </c>
      <c r="H98" s="330"/>
      <c r="I98" s="316">
        <f t="shared" si="10"/>
        <v>5</v>
      </c>
    </row>
    <row r="99" s="291" customFormat="1" ht="24.95" customHeight="1" spans="1:9">
      <c r="A99" s="310">
        <v>2012801</v>
      </c>
      <c r="B99" s="321" t="s">
        <v>49</v>
      </c>
      <c r="C99" s="322">
        <v>647</v>
      </c>
      <c r="D99" s="323"/>
      <c r="E99" s="322">
        <v>593.2</v>
      </c>
      <c r="F99" s="324">
        <f t="shared" si="7"/>
        <v>593.2</v>
      </c>
      <c r="G99" s="325">
        <f t="shared" si="9"/>
        <v>-0.0831530139103555</v>
      </c>
      <c r="H99" s="326"/>
      <c r="I99" s="316">
        <f t="shared" si="10"/>
        <v>7</v>
      </c>
    </row>
    <row r="100" s="291" customFormat="1" ht="35.25" customHeight="1" spans="1:9">
      <c r="A100" s="310">
        <v>2012802</v>
      </c>
      <c r="B100" s="321" t="s">
        <v>50</v>
      </c>
      <c r="C100" s="322">
        <v>25</v>
      </c>
      <c r="D100" s="323"/>
      <c r="E100" s="322">
        <v>13.84</v>
      </c>
      <c r="F100" s="324">
        <f t="shared" si="7"/>
        <v>13.84</v>
      </c>
      <c r="G100" s="325">
        <f t="shared" si="9"/>
        <v>-0.4464</v>
      </c>
      <c r="H100" s="326" t="s">
        <v>931</v>
      </c>
      <c r="I100" s="316">
        <f t="shared" si="10"/>
        <v>7</v>
      </c>
    </row>
    <row r="101" s="291" customFormat="1" ht="36" customHeight="1" spans="1:9">
      <c r="A101" s="310">
        <v>2012804</v>
      </c>
      <c r="B101" s="321" t="s">
        <v>61</v>
      </c>
      <c r="C101" s="322">
        <v>72</v>
      </c>
      <c r="D101" s="323"/>
      <c r="E101" s="322">
        <v>110</v>
      </c>
      <c r="F101" s="324">
        <f t="shared" si="7"/>
        <v>110</v>
      </c>
      <c r="G101" s="325">
        <f t="shared" si="9"/>
        <v>0.527777777777778</v>
      </c>
      <c r="H101" s="326" t="s">
        <v>947</v>
      </c>
      <c r="I101" s="316">
        <f t="shared" si="10"/>
        <v>7</v>
      </c>
    </row>
    <row r="102" s="291" customFormat="1" ht="24.95" customHeight="1" spans="1:9">
      <c r="A102" s="310">
        <v>2012850</v>
      </c>
      <c r="B102" s="321" t="s">
        <v>65</v>
      </c>
      <c r="C102" s="322">
        <v>24</v>
      </c>
      <c r="D102" s="323"/>
      <c r="E102" s="322">
        <v>24.47</v>
      </c>
      <c r="F102" s="324">
        <f t="shared" si="7"/>
        <v>24.47</v>
      </c>
      <c r="G102" s="325">
        <f t="shared" si="9"/>
        <v>0.0195833333333333</v>
      </c>
      <c r="H102" s="326"/>
      <c r="I102" s="316">
        <f t="shared" si="10"/>
        <v>7</v>
      </c>
    </row>
    <row r="103" s="291" customFormat="1" ht="45" customHeight="1" spans="1:9">
      <c r="A103" s="310">
        <v>2012899</v>
      </c>
      <c r="B103" s="321" t="s">
        <v>128</v>
      </c>
      <c r="C103" s="322">
        <v>115</v>
      </c>
      <c r="D103" s="323"/>
      <c r="E103" s="322">
        <v>86</v>
      </c>
      <c r="F103" s="324">
        <f t="shared" si="7"/>
        <v>86</v>
      </c>
      <c r="G103" s="325">
        <f t="shared" si="9"/>
        <v>-0.252173913043478</v>
      </c>
      <c r="H103" s="326"/>
      <c r="I103" s="316">
        <f t="shared" si="10"/>
        <v>7</v>
      </c>
    </row>
    <row r="104" s="291" customFormat="1" ht="24.95" customHeight="1" spans="1:9">
      <c r="A104" s="310">
        <v>20129</v>
      </c>
      <c r="B104" s="317" t="s">
        <v>129</v>
      </c>
      <c r="C104" s="318">
        <f>SUM(C105:C109)</f>
        <v>12640</v>
      </c>
      <c r="D104" s="318"/>
      <c r="E104" s="318">
        <f>SUM(E105:E109)</f>
        <v>16558.12</v>
      </c>
      <c r="F104" s="319">
        <f t="shared" si="7"/>
        <v>16558.12</v>
      </c>
      <c r="G104" s="320">
        <f t="shared" si="9"/>
        <v>0.309977848101266</v>
      </c>
      <c r="H104" s="330"/>
      <c r="I104" s="316">
        <f t="shared" si="10"/>
        <v>5</v>
      </c>
    </row>
    <row r="105" s="291" customFormat="1" ht="24.95" customHeight="1" spans="1:9">
      <c r="A105" s="310">
        <v>2012901</v>
      </c>
      <c r="B105" s="321" t="s">
        <v>49</v>
      </c>
      <c r="C105" s="322">
        <v>6550</v>
      </c>
      <c r="D105" s="323"/>
      <c r="E105" s="322">
        <v>5475.21</v>
      </c>
      <c r="F105" s="324">
        <f t="shared" si="7"/>
        <v>5475.21</v>
      </c>
      <c r="G105" s="325">
        <f t="shared" si="9"/>
        <v>-0.164090076335878</v>
      </c>
      <c r="H105" s="326"/>
      <c r="I105" s="316">
        <f t="shared" si="10"/>
        <v>7</v>
      </c>
    </row>
    <row r="106" s="291" customFormat="1" ht="24.95" customHeight="1" spans="1:9">
      <c r="A106" s="310">
        <v>2012902</v>
      </c>
      <c r="B106" s="321" t="s">
        <v>50</v>
      </c>
      <c r="C106" s="322">
        <v>51</v>
      </c>
      <c r="D106" s="323"/>
      <c r="E106" s="322">
        <v>43.5</v>
      </c>
      <c r="F106" s="324">
        <f t="shared" si="7"/>
        <v>43.5</v>
      </c>
      <c r="G106" s="325">
        <f t="shared" si="9"/>
        <v>-0.147058823529412</v>
      </c>
      <c r="H106" s="326"/>
      <c r="I106" s="316">
        <f t="shared" si="10"/>
        <v>7</v>
      </c>
    </row>
    <row r="107" s="291" customFormat="1" ht="93" customHeight="1" spans="1:9">
      <c r="A107" s="310">
        <v>2012906</v>
      </c>
      <c r="B107" s="321" t="s">
        <v>130</v>
      </c>
      <c r="C107" s="322">
        <v>182</v>
      </c>
      <c r="D107" s="323"/>
      <c r="E107" s="322">
        <f>5432.25+289.63</f>
        <v>5721.88</v>
      </c>
      <c r="F107" s="324">
        <f t="shared" si="7"/>
        <v>5721.88</v>
      </c>
      <c r="G107" s="325">
        <f t="shared" si="9"/>
        <v>30.4389010989011</v>
      </c>
      <c r="H107" s="326" t="s">
        <v>948</v>
      </c>
      <c r="I107" s="316">
        <f t="shared" si="10"/>
        <v>7</v>
      </c>
    </row>
    <row r="108" s="291" customFormat="1" ht="24.95" customHeight="1" spans="1:9">
      <c r="A108" s="310">
        <v>2012950</v>
      </c>
      <c r="B108" s="321" t="s">
        <v>65</v>
      </c>
      <c r="C108" s="322">
        <v>546</v>
      </c>
      <c r="D108" s="323"/>
      <c r="E108" s="322">
        <v>619.55</v>
      </c>
      <c r="F108" s="324">
        <f t="shared" si="7"/>
        <v>619.55</v>
      </c>
      <c r="G108" s="325">
        <f t="shared" si="9"/>
        <v>0.13470695970696</v>
      </c>
      <c r="H108" s="326"/>
      <c r="I108" s="316">
        <f t="shared" si="10"/>
        <v>7</v>
      </c>
    </row>
    <row r="109" s="291" customFormat="1" ht="24.95" customHeight="1" spans="1:9">
      <c r="A109" s="310">
        <v>2012999</v>
      </c>
      <c r="B109" s="321" t="s">
        <v>131</v>
      </c>
      <c r="C109" s="322">
        <v>5311</v>
      </c>
      <c r="D109" s="323"/>
      <c r="E109" s="322">
        <v>4697.98</v>
      </c>
      <c r="F109" s="324">
        <f t="shared" si="7"/>
        <v>4697.98</v>
      </c>
      <c r="G109" s="325">
        <f t="shared" si="9"/>
        <v>-0.115424590472604</v>
      </c>
      <c r="H109" s="326"/>
      <c r="I109" s="316">
        <f t="shared" si="10"/>
        <v>7</v>
      </c>
    </row>
    <row r="110" s="291" customFormat="1" ht="24.95" customHeight="1" spans="1:9">
      <c r="A110" s="310">
        <v>20132</v>
      </c>
      <c r="B110" s="317" t="s">
        <v>132</v>
      </c>
      <c r="C110" s="318">
        <f>SUM(C111:C113)</f>
        <v>7605</v>
      </c>
      <c r="D110" s="318"/>
      <c r="E110" s="318">
        <f>SUM(E111:E113)</f>
        <v>7263.56</v>
      </c>
      <c r="F110" s="319">
        <f t="shared" si="7"/>
        <v>7263.56</v>
      </c>
      <c r="G110" s="320">
        <f t="shared" si="9"/>
        <v>-0.0448967784352401</v>
      </c>
      <c r="H110" s="330"/>
      <c r="I110" s="316">
        <f t="shared" si="10"/>
        <v>5</v>
      </c>
    </row>
    <row r="111" s="291" customFormat="1" ht="24.95" customHeight="1" spans="1:9">
      <c r="A111" s="310">
        <v>2013201</v>
      </c>
      <c r="B111" s="321" t="s">
        <v>49</v>
      </c>
      <c r="C111" s="322">
        <v>2762</v>
      </c>
      <c r="D111" s="323"/>
      <c r="E111" s="322">
        <v>2561.94</v>
      </c>
      <c r="F111" s="324">
        <f t="shared" si="7"/>
        <v>2561.94</v>
      </c>
      <c r="G111" s="325">
        <f t="shared" si="9"/>
        <v>-0.07243301955105</v>
      </c>
      <c r="H111" s="326"/>
      <c r="I111" s="316">
        <f t="shared" si="10"/>
        <v>7</v>
      </c>
    </row>
    <row r="112" s="291" customFormat="1" ht="42" customHeight="1" spans="1:9">
      <c r="A112" s="310">
        <v>2013202</v>
      </c>
      <c r="B112" s="321" t="s">
        <v>50</v>
      </c>
      <c r="C112" s="322">
        <v>802</v>
      </c>
      <c r="D112" s="323"/>
      <c r="E112" s="334"/>
      <c r="F112" s="324">
        <f t="shared" si="7"/>
        <v>0</v>
      </c>
      <c r="G112" s="325">
        <f t="shared" si="9"/>
        <v>-1</v>
      </c>
      <c r="H112" s="326" t="s">
        <v>949</v>
      </c>
      <c r="I112" s="316">
        <f t="shared" si="10"/>
        <v>7</v>
      </c>
    </row>
    <row r="113" s="291" customFormat="1" ht="42.95" customHeight="1" spans="1:9">
      <c r="A113" s="310">
        <v>2013299</v>
      </c>
      <c r="B113" s="321" t="s">
        <v>134</v>
      </c>
      <c r="C113" s="322">
        <v>4041</v>
      </c>
      <c r="D113" s="323"/>
      <c r="E113" s="322">
        <v>4701.62</v>
      </c>
      <c r="F113" s="324">
        <f t="shared" si="7"/>
        <v>4701.62</v>
      </c>
      <c r="G113" s="325">
        <f t="shared" si="9"/>
        <v>0.163479336797822</v>
      </c>
      <c r="H113" s="326" t="s">
        <v>949</v>
      </c>
      <c r="I113" s="316">
        <f t="shared" si="10"/>
        <v>7</v>
      </c>
    </row>
    <row r="114" s="291" customFormat="1" ht="24.95" customHeight="1" spans="1:9">
      <c r="A114" s="310">
        <v>20133</v>
      </c>
      <c r="B114" s="317" t="s">
        <v>135</v>
      </c>
      <c r="C114" s="318">
        <f>SUM(C115:C117)</f>
        <v>17887</v>
      </c>
      <c r="D114" s="318"/>
      <c r="E114" s="318">
        <f>SUM(E115:E117)</f>
        <v>13607.74</v>
      </c>
      <c r="F114" s="319">
        <f t="shared" si="7"/>
        <v>13607.74</v>
      </c>
      <c r="G114" s="320">
        <f t="shared" si="9"/>
        <v>-0.239238553139151</v>
      </c>
      <c r="H114" s="330"/>
      <c r="I114" s="316">
        <f t="shared" si="10"/>
        <v>5</v>
      </c>
    </row>
    <row r="115" s="291" customFormat="1" ht="24.95" customHeight="1" spans="1:9">
      <c r="A115" s="310">
        <v>2013301</v>
      </c>
      <c r="B115" s="321" t="s">
        <v>49</v>
      </c>
      <c r="C115" s="322">
        <v>1397</v>
      </c>
      <c r="D115" s="323"/>
      <c r="E115" s="322">
        <v>1292.03</v>
      </c>
      <c r="F115" s="324">
        <f t="shared" si="7"/>
        <v>1292.03</v>
      </c>
      <c r="G115" s="325">
        <f t="shared" si="9"/>
        <v>-0.0751395848246242</v>
      </c>
      <c r="H115" s="326"/>
      <c r="I115" s="316">
        <f t="shared" si="10"/>
        <v>7</v>
      </c>
    </row>
    <row r="116" s="291" customFormat="1" ht="24.95" customHeight="1" spans="1:9">
      <c r="A116" s="310">
        <v>2013302</v>
      </c>
      <c r="B116" s="321" t="s">
        <v>50</v>
      </c>
      <c r="C116" s="322">
        <v>7809</v>
      </c>
      <c r="D116" s="323"/>
      <c r="E116" s="322">
        <v>5161.53</v>
      </c>
      <c r="F116" s="324">
        <f t="shared" si="7"/>
        <v>5161.53</v>
      </c>
      <c r="G116" s="325">
        <f t="shared" si="9"/>
        <v>-0.339028044563965</v>
      </c>
      <c r="H116" s="326" t="s">
        <v>950</v>
      </c>
      <c r="I116" s="316">
        <f t="shared" si="10"/>
        <v>7</v>
      </c>
    </row>
    <row r="117" s="291" customFormat="1" ht="33.75" customHeight="1" spans="1:9">
      <c r="A117" s="310">
        <v>2013399</v>
      </c>
      <c r="B117" s="321" t="s">
        <v>136</v>
      </c>
      <c r="C117" s="322">
        <v>8681</v>
      </c>
      <c r="D117" s="323"/>
      <c r="E117" s="322">
        <v>7154.18</v>
      </c>
      <c r="F117" s="324">
        <f t="shared" si="7"/>
        <v>7154.18</v>
      </c>
      <c r="G117" s="325">
        <f t="shared" si="9"/>
        <v>-0.175880658910264</v>
      </c>
      <c r="H117" s="326" t="s">
        <v>950</v>
      </c>
      <c r="I117" s="316">
        <f t="shared" si="10"/>
        <v>7</v>
      </c>
    </row>
    <row r="118" s="291" customFormat="1" ht="24.95" customHeight="1" spans="1:9">
      <c r="A118" s="310">
        <v>20134</v>
      </c>
      <c r="B118" s="317" t="s">
        <v>137</v>
      </c>
      <c r="C118" s="318">
        <f>SUM(C119:C121)</f>
        <v>2360</v>
      </c>
      <c r="D118" s="318"/>
      <c r="E118" s="318">
        <f>SUM(E119:E121)</f>
        <v>1966.29</v>
      </c>
      <c r="F118" s="319">
        <f t="shared" si="7"/>
        <v>1966.29</v>
      </c>
      <c r="G118" s="320">
        <f t="shared" si="9"/>
        <v>-0.166826271186441</v>
      </c>
      <c r="H118" s="330"/>
      <c r="I118" s="316">
        <f t="shared" si="10"/>
        <v>5</v>
      </c>
    </row>
    <row r="119" s="291" customFormat="1" ht="24.95" customHeight="1" spans="1:9">
      <c r="A119" s="310">
        <v>2013401</v>
      </c>
      <c r="B119" s="321" t="s">
        <v>49</v>
      </c>
      <c r="C119" s="322">
        <v>1064</v>
      </c>
      <c r="D119" s="323"/>
      <c r="E119" s="322">
        <v>867.65</v>
      </c>
      <c r="F119" s="324">
        <f t="shared" si="7"/>
        <v>867.65</v>
      </c>
      <c r="G119" s="325">
        <f t="shared" si="9"/>
        <v>-0.184539473684211</v>
      </c>
      <c r="H119" s="326"/>
      <c r="I119" s="316">
        <f t="shared" si="10"/>
        <v>7</v>
      </c>
    </row>
    <row r="120" s="291" customFormat="1" ht="24.95" customHeight="1" spans="1:9">
      <c r="A120" s="310">
        <v>2013404</v>
      </c>
      <c r="B120" s="321" t="s">
        <v>139</v>
      </c>
      <c r="C120" s="322">
        <v>23</v>
      </c>
      <c r="D120" s="323"/>
      <c r="E120" s="322">
        <v>23</v>
      </c>
      <c r="F120" s="324">
        <f t="shared" si="7"/>
        <v>23</v>
      </c>
      <c r="G120" s="325">
        <f t="shared" si="9"/>
        <v>0</v>
      </c>
      <c r="H120" s="326"/>
      <c r="I120" s="316">
        <f t="shared" si="10"/>
        <v>7</v>
      </c>
    </row>
    <row r="121" s="291" customFormat="1" ht="24.95" customHeight="1" spans="1:9">
      <c r="A121" s="310">
        <v>2013499</v>
      </c>
      <c r="B121" s="321" t="s">
        <v>140</v>
      </c>
      <c r="C121" s="322">
        <v>1273</v>
      </c>
      <c r="D121" s="323"/>
      <c r="E121" s="322">
        <v>1075.64</v>
      </c>
      <c r="F121" s="324">
        <f t="shared" si="7"/>
        <v>1075.64</v>
      </c>
      <c r="G121" s="325">
        <f t="shared" si="9"/>
        <v>-0.15503534956795</v>
      </c>
      <c r="H121" s="326"/>
      <c r="I121" s="316">
        <f t="shared" si="10"/>
        <v>7</v>
      </c>
    </row>
    <row r="122" s="291" customFormat="1" ht="45" customHeight="1" spans="1:9">
      <c r="A122" s="310">
        <v>20136</v>
      </c>
      <c r="B122" s="317" t="s">
        <v>141</v>
      </c>
      <c r="C122" s="318">
        <f>SUM(C123:C126)</f>
        <v>10230</v>
      </c>
      <c r="D122" s="318"/>
      <c r="E122" s="318">
        <f>SUM(E123:E126)</f>
        <v>8863.6</v>
      </c>
      <c r="F122" s="319">
        <f t="shared" si="7"/>
        <v>8863.6</v>
      </c>
      <c r="G122" s="320">
        <f t="shared" si="9"/>
        <v>-0.133567937438905</v>
      </c>
      <c r="H122" s="330"/>
      <c r="I122" s="316">
        <f t="shared" si="10"/>
        <v>5</v>
      </c>
    </row>
    <row r="123" s="291" customFormat="1" ht="24.95" customHeight="1" spans="1:9">
      <c r="A123" s="310">
        <v>2013601</v>
      </c>
      <c r="B123" s="321" t="s">
        <v>49</v>
      </c>
      <c r="C123" s="322">
        <v>3089</v>
      </c>
      <c r="D123" s="323"/>
      <c r="E123" s="322">
        <v>2528.63</v>
      </c>
      <c r="F123" s="324">
        <f t="shared" si="7"/>
        <v>2528.63</v>
      </c>
      <c r="G123" s="325">
        <f t="shared" si="9"/>
        <v>-0.181408222725801</v>
      </c>
      <c r="H123" s="326"/>
      <c r="I123" s="316">
        <f t="shared" si="10"/>
        <v>7</v>
      </c>
    </row>
    <row r="124" s="291" customFormat="1" ht="24.95" customHeight="1" spans="1:9">
      <c r="A124" s="310">
        <v>2013602</v>
      </c>
      <c r="B124" s="321" t="s">
        <v>50</v>
      </c>
      <c r="C124" s="322">
        <v>82</v>
      </c>
      <c r="D124" s="323"/>
      <c r="E124" s="322">
        <v>84.39</v>
      </c>
      <c r="F124" s="324">
        <f t="shared" si="7"/>
        <v>84.39</v>
      </c>
      <c r="G124" s="325">
        <f t="shared" si="9"/>
        <v>0.0291463414634145</v>
      </c>
      <c r="H124" s="326"/>
      <c r="I124" s="316">
        <f t="shared" si="10"/>
        <v>7</v>
      </c>
    </row>
    <row r="125" s="291" customFormat="1" ht="24.95" customHeight="1" spans="1:9">
      <c r="A125" s="310">
        <v>2013650</v>
      </c>
      <c r="B125" s="321" t="s">
        <v>65</v>
      </c>
      <c r="C125" s="322"/>
      <c r="D125" s="323"/>
      <c r="E125" s="322">
        <v>112.25</v>
      </c>
      <c r="F125" s="324">
        <f t="shared" si="7"/>
        <v>112.25</v>
      </c>
      <c r="G125" s="328" t="s">
        <v>20</v>
      </c>
      <c r="H125" s="326"/>
      <c r="I125" s="316">
        <v>7</v>
      </c>
    </row>
    <row r="126" s="291" customFormat="1" ht="75" customHeight="1" spans="1:9">
      <c r="A126" s="310">
        <v>2013699</v>
      </c>
      <c r="B126" s="321" t="s">
        <v>142</v>
      </c>
      <c r="C126" s="322">
        <v>7059</v>
      </c>
      <c r="D126" s="323"/>
      <c r="E126" s="322">
        <v>6138.33</v>
      </c>
      <c r="F126" s="324">
        <f t="shared" ref="F126:F165" si="11">D126+E126</f>
        <v>6138.33</v>
      </c>
      <c r="G126" s="325">
        <f t="shared" si="9"/>
        <v>-0.130424989375266</v>
      </c>
      <c r="H126" s="326" t="s">
        <v>951</v>
      </c>
      <c r="I126" s="316">
        <f t="shared" ref="I126:I165" si="12">LEN(A126)</f>
        <v>7</v>
      </c>
    </row>
    <row r="127" s="291" customFormat="1" ht="24.95" customHeight="1" spans="1:9">
      <c r="A127" s="310">
        <v>20137</v>
      </c>
      <c r="B127" s="335" t="s">
        <v>143</v>
      </c>
      <c r="C127" s="318">
        <f>SUM(C128:C128)</f>
        <v>3801</v>
      </c>
      <c r="D127" s="318"/>
      <c r="E127" s="318"/>
      <c r="F127" s="319">
        <f t="shared" si="11"/>
        <v>0</v>
      </c>
      <c r="G127" s="320">
        <f t="shared" si="9"/>
        <v>-1</v>
      </c>
      <c r="H127" s="330"/>
      <c r="I127" s="316">
        <v>5</v>
      </c>
    </row>
    <row r="128" s="291" customFormat="1" ht="24.95" customHeight="1" spans="1:9">
      <c r="A128" s="310">
        <v>2013799</v>
      </c>
      <c r="B128" s="326" t="s">
        <v>144</v>
      </c>
      <c r="C128" s="322">
        <v>3801</v>
      </c>
      <c r="D128" s="323"/>
      <c r="E128" s="322"/>
      <c r="F128" s="324">
        <f t="shared" si="11"/>
        <v>0</v>
      </c>
      <c r="G128" s="325">
        <f t="shared" si="9"/>
        <v>-1</v>
      </c>
      <c r="H128" s="326"/>
      <c r="I128" s="316">
        <v>7</v>
      </c>
    </row>
    <row r="129" s="291" customFormat="1" ht="47.1" customHeight="1" spans="1:9">
      <c r="A129" s="310">
        <v>20138</v>
      </c>
      <c r="B129" s="317" t="s">
        <v>146</v>
      </c>
      <c r="C129" s="318">
        <f>SUM(C130:C135)</f>
        <v>11806</v>
      </c>
      <c r="D129" s="318"/>
      <c r="E129" s="318">
        <f>SUM(E130:E135)</f>
        <v>11140.34</v>
      </c>
      <c r="F129" s="319">
        <f t="shared" si="11"/>
        <v>11140.34</v>
      </c>
      <c r="G129" s="320">
        <f t="shared" si="9"/>
        <v>-0.0563831949856005</v>
      </c>
      <c r="H129" s="330"/>
      <c r="I129" s="316">
        <f t="shared" si="12"/>
        <v>5</v>
      </c>
    </row>
    <row r="130" s="291" customFormat="1" ht="43.5" customHeight="1" spans="1:9">
      <c r="A130" s="310">
        <v>2013801</v>
      </c>
      <c r="B130" s="321" t="s">
        <v>49</v>
      </c>
      <c r="C130" s="322">
        <v>46</v>
      </c>
      <c r="D130" s="323"/>
      <c r="E130" s="322"/>
      <c r="F130" s="324">
        <f t="shared" si="11"/>
        <v>0</v>
      </c>
      <c r="G130" s="325">
        <f t="shared" si="9"/>
        <v>-1</v>
      </c>
      <c r="H130" s="326" t="s">
        <v>952</v>
      </c>
      <c r="I130" s="316">
        <f t="shared" si="12"/>
        <v>7</v>
      </c>
    </row>
    <row r="131" s="291" customFormat="1" ht="26.25" customHeight="1" spans="1:9">
      <c r="A131" s="310">
        <v>2013802</v>
      </c>
      <c r="B131" s="321" t="s">
        <v>50</v>
      </c>
      <c r="C131" s="322">
        <v>7</v>
      </c>
      <c r="D131" s="323"/>
      <c r="E131" s="322">
        <v>10.44</v>
      </c>
      <c r="F131" s="324">
        <f t="shared" si="11"/>
        <v>10.44</v>
      </c>
      <c r="G131" s="325">
        <f t="shared" si="9"/>
        <v>0.491428571428571</v>
      </c>
      <c r="H131" s="326" t="s">
        <v>953</v>
      </c>
      <c r="I131" s="316">
        <f t="shared" si="12"/>
        <v>7</v>
      </c>
    </row>
    <row r="132" s="291" customFormat="1" ht="53.1" customHeight="1" spans="1:9">
      <c r="A132" s="310">
        <v>2013804</v>
      </c>
      <c r="B132" s="321" t="s">
        <v>149</v>
      </c>
      <c r="C132" s="322">
        <v>516</v>
      </c>
      <c r="D132" s="323"/>
      <c r="E132" s="322"/>
      <c r="F132" s="324">
        <f t="shared" si="11"/>
        <v>0</v>
      </c>
      <c r="G132" s="325">
        <f t="shared" si="9"/>
        <v>-1</v>
      </c>
      <c r="H132" s="326" t="s">
        <v>954</v>
      </c>
      <c r="I132" s="316">
        <f t="shared" si="12"/>
        <v>7</v>
      </c>
    </row>
    <row r="133" s="291" customFormat="1" ht="40.5" customHeight="1" spans="1:9">
      <c r="A133" s="310">
        <v>2013806</v>
      </c>
      <c r="B133" s="321" t="s">
        <v>113</v>
      </c>
      <c r="C133" s="322">
        <v>130</v>
      </c>
      <c r="D133" s="323"/>
      <c r="E133" s="322"/>
      <c r="F133" s="324">
        <f t="shared" si="11"/>
        <v>0</v>
      </c>
      <c r="G133" s="325">
        <f t="shared" si="9"/>
        <v>-1</v>
      </c>
      <c r="H133" s="326" t="s">
        <v>955</v>
      </c>
      <c r="I133" s="316">
        <f t="shared" si="12"/>
        <v>7</v>
      </c>
    </row>
    <row r="134" s="291" customFormat="1" ht="24.95" customHeight="1" spans="1:9">
      <c r="A134" s="310">
        <v>2013850</v>
      </c>
      <c r="B134" s="321" t="s">
        <v>65</v>
      </c>
      <c r="C134" s="322">
        <v>426</v>
      </c>
      <c r="D134" s="323"/>
      <c r="E134" s="322">
        <v>356.01</v>
      </c>
      <c r="F134" s="324">
        <f t="shared" si="11"/>
        <v>356.01</v>
      </c>
      <c r="G134" s="325">
        <f t="shared" si="9"/>
        <v>-0.164295774647887</v>
      </c>
      <c r="H134" s="326"/>
      <c r="I134" s="316">
        <f t="shared" si="12"/>
        <v>7</v>
      </c>
    </row>
    <row r="135" s="291" customFormat="1" ht="54.75" customHeight="1" spans="1:9">
      <c r="A135" s="310">
        <v>2013899</v>
      </c>
      <c r="B135" s="321" t="s">
        <v>150</v>
      </c>
      <c r="C135" s="322">
        <v>10681</v>
      </c>
      <c r="D135" s="323"/>
      <c r="E135" s="322">
        <v>10773.89</v>
      </c>
      <c r="F135" s="324">
        <f t="shared" si="11"/>
        <v>10773.89</v>
      </c>
      <c r="G135" s="325">
        <f t="shared" ref="G135:G198" si="13">F135/C135-1</f>
        <v>0.00869675124052049</v>
      </c>
      <c r="H135" s="326" t="s">
        <v>956</v>
      </c>
      <c r="I135" s="316">
        <f t="shared" si="12"/>
        <v>7</v>
      </c>
    </row>
    <row r="136" s="291" customFormat="1" ht="48.95" customHeight="1" spans="1:9">
      <c r="A136" s="310">
        <v>20199</v>
      </c>
      <c r="B136" s="317" t="s">
        <v>152</v>
      </c>
      <c r="C136" s="318">
        <f t="shared" ref="C136:C141" si="14">C137</f>
        <v>14829</v>
      </c>
      <c r="D136" s="318">
        <v>400</v>
      </c>
      <c r="E136" s="318">
        <f>E137</f>
        <v>25487</v>
      </c>
      <c r="F136" s="319">
        <f t="shared" si="11"/>
        <v>25887</v>
      </c>
      <c r="G136" s="320">
        <f t="shared" si="13"/>
        <v>0.745700991300829</v>
      </c>
      <c r="H136" s="330"/>
      <c r="I136" s="316">
        <f t="shared" si="12"/>
        <v>5</v>
      </c>
    </row>
    <row r="137" s="291" customFormat="1" ht="63" customHeight="1" spans="1:9">
      <c r="A137" s="310">
        <v>2019999</v>
      </c>
      <c r="B137" s="321" t="s">
        <v>153</v>
      </c>
      <c r="C137" s="322">
        <v>14829</v>
      </c>
      <c r="D137" s="323">
        <v>400</v>
      </c>
      <c r="E137" s="322">
        <v>25487</v>
      </c>
      <c r="F137" s="324">
        <f t="shared" si="11"/>
        <v>25887</v>
      </c>
      <c r="G137" s="325">
        <f t="shared" si="13"/>
        <v>0.745700991300829</v>
      </c>
      <c r="H137" s="326" t="s">
        <v>957</v>
      </c>
      <c r="I137" s="316">
        <f t="shared" si="12"/>
        <v>7</v>
      </c>
    </row>
    <row r="138" s="291" customFormat="1" ht="24.95" customHeight="1" spans="1:9">
      <c r="A138" s="310">
        <v>203</v>
      </c>
      <c r="B138" s="311" t="s">
        <v>154</v>
      </c>
      <c r="C138" s="312">
        <f>C139+C141</f>
        <v>1326</v>
      </c>
      <c r="D138" s="313"/>
      <c r="E138" s="313">
        <f>E139+E141</f>
        <v>1332.59</v>
      </c>
      <c r="F138" s="314">
        <f t="shared" si="11"/>
        <v>1332.59</v>
      </c>
      <c r="G138" s="315">
        <f t="shared" si="13"/>
        <v>0.00496983408748108</v>
      </c>
      <c r="H138" s="312"/>
      <c r="I138" s="316">
        <f t="shared" si="12"/>
        <v>3</v>
      </c>
    </row>
    <row r="139" s="291" customFormat="1" ht="24.95" customHeight="1" spans="1:9">
      <c r="A139" s="310">
        <v>20306</v>
      </c>
      <c r="B139" s="317" t="s">
        <v>155</v>
      </c>
      <c r="C139" s="318">
        <f t="shared" si="14"/>
        <v>26</v>
      </c>
      <c r="D139" s="318"/>
      <c r="E139" s="318"/>
      <c r="F139" s="319">
        <f t="shared" si="11"/>
        <v>0</v>
      </c>
      <c r="G139" s="320">
        <f t="shared" si="13"/>
        <v>-1</v>
      </c>
      <c r="H139" s="330"/>
      <c r="I139" s="316">
        <f t="shared" si="12"/>
        <v>5</v>
      </c>
    </row>
    <row r="140" s="291" customFormat="1" ht="54.75" customHeight="1" spans="1:9">
      <c r="A140" s="310">
        <v>2030603</v>
      </c>
      <c r="B140" s="321" t="s">
        <v>156</v>
      </c>
      <c r="C140" s="322">
        <v>26</v>
      </c>
      <c r="D140" s="323"/>
      <c r="E140" s="322"/>
      <c r="F140" s="324">
        <f t="shared" si="11"/>
        <v>0</v>
      </c>
      <c r="G140" s="325">
        <f t="shared" si="13"/>
        <v>-1</v>
      </c>
      <c r="H140" s="326" t="s">
        <v>958</v>
      </c>
      <c r="I140" s="316">
        <f t="shared" si="12"/>
        <v>7</v>
      </c>
    </row>
    <row r="141" s="291" customFormat="1" ht="24.95" customHeight="1" spans="1:9">
      <c r="A141" s="310">
        <v>20399</v>
      </c>
      <c r="B141" s="317" t="s">
        <v>158</v>
      </c>
      <c r="C141" s="318">
        <f t="shared" si="14"/>
        <v>1300</v>
      </c>
      <c r="D141" s="318"/>
      <c r="E141" s="318">
        <v>1332.59</v>
      </c>
      <c r="F141" s="319">
        <f t="shared" si="11"/>
        <v>1332.59</v>
      </c>
      <c r="G141" s="320">
        <f t="shared" si="13"/>
        <v>0.0250692307692306</v>
      </c>
      <c r="H141" s="330"/>
      <c r="I141" s="316">
        <f t="shared" si="12"/>
        <v>5</v>
      </c>
    </row>
    <row r="142" s="291" customFormat="1" ht="24.95" customHeight="1" spans="1:9">
      <c r="A142" s="310">
        <v>2039901</v>
      </c>
      <c r="B142" s="321" t="s">
        <v>159</v>
      </c>
      <c r="C142" s="322">
        <v>1300</v>
      </c>
      <c r="D142" s="323"/>
      <c r="E142" s="322">
        <v>1332.59</v>
      </c>
      <c r="F142" s="324">
        <f t="shared" si="11"/>
        <v>1332.59</v>
      </c>
      <c r="G142" s="325">
        <f t="shared" si="13"/>
        <v>0.0250692307692306</v>
      </c>
      <c r="H142" s="326"/>
      <c r="I142" s="316">
        <f t="shared" si="12"/>
        <v>7</v>
      </c>
    </row>
    <row r="143" s="291" customFormat="1" ht="24.95" customHeight="1" spans="1:9">
      <c r="A143" s="310">
        <v>204</v>
      </c>
      <c r="B143" s="311" t="s">
        <v>160</v>
      </c>
      <c r="C143" s="312">
        <f>C144+C146+C162+C167+C169+C180+C184</f>
        <v>276596</v>
      </c>
      <c r="D143" s="313"/>
      <c r="E143" s="313">
        <f>E144+E146+E162+E167+E169+E180+E184</f>
        <v>260255.84</v>
      </c>
      <c r="F143" s="314">
        <f t="shared" si="11"/>
        <v>260255.84</v>
      </c>
      <c r="G143" s="315">
        <f t="shared" si="13"/>
        <v>-0.0590759085453152</v>
      </c>
      <c r="H143" s="312"/>
      <c r="I143" s="316">
        <f t="shared" si="12"/>
        <v>3</v>
      </c>
    </row>
    <row r="144" s="291" customFormat="1" ht="24.95" customHeight="1" spans="1:9">
      <c r="A144" s="310">
        <v>20401</v>
      </c>
      <c r="B144" s="332" t="s">
        <v>161</v>
      </c>
      <c r="C144" s="318"/>
      <c r="D144" s="318"/>
      <c r="E144" s="318"/>
      <c r="F144" s="319">
        <f t="shared" si="11"/>
        <v>0</v>
      </c>
      <c r="G144" s="333" t="s">
        <v>20</v>
      </c>
      <c r="H144" s="330"/>
      <c r="I144" s="316">
        <f t="shared" si="12"/>
        <v>5</v>
      </c>
    </row>
    <row r="145" s="291" customFormat="1" ht="24.95" customHeight="1" spans="1:9">
      <c r="A145" s="310">
        <v>2040103</v>
      </c>
      <c r="B145" s="327" t="s">
        <v>162</v>
      </c>
      <c r="C145" s="322"/>
      <c r="D145" s="323"/>
      <c r="E145" s="322"/>
      <c r="F145" s="324">
        <f t="shared" si="11"/>
        <v>0</v>
      </c>
      <c r="G145" s="328" t="s">
        <v>20</v>
      </c>
      <c r="H145" s="326"/>
      <c r="I145" s="316">
        <f t="shared" si="12"/>
        <v>7</v>
      </c>
    </row>
    <row r="146" s="291" customFormat="1" ht="24.95" customHeight="1" spans="1:9">
      <c r="A146" s="310">
        <v>20402</v>
      </c>
      <c r="B146" s="317" t="s">
        <v>163</v>
      </c>
      <c r="C146" s="318">
        <f>SUM(C147:C161)</f>
        <v>256990</v>
      </c>
      <c r="D146" s="318"/>
      <c r="E146" s="318">
        <f>SUM(E147:E161)</f>
        <v>243110.28</v>
      </c>
      <c r="F146" s="319">
        <f t="shared" si="11"/>
        <v>243110.28</v>
      </c>
      <c r="G146" s="320">
        <f t="shared" si="13"/>
        <v>-0.0540087941165025</v>
      </c>
      <c r="H146" s="330"/>
      <c r="I146" s="316">
        <f t="shared" si="12"/>
        <v>5</v>
      </c>
    </row>
    <row r="147" s="291" customFormat="1" ht="57" customHeight="1" spans="1:9">
      <c r="A147" s="310">
        <v>2040201</v>
      </c>
      <c r="B147" s="321" t="s">
        <v>49</v>
      </c>
      <c r="C147" s="322">
        <v>119167</v>
      </c>
      <c r="D147" s="323"/>
      <c r="E147" s="322">
        <v>112354.88</v>
      </c>
      <c r="F147" s="324">
        <f t="shared" si="11"/>
        <v>112354.88</v>
      </c>
      <c r="G147" s="325">
        <f t="shared" si="13"/>
        <v>-0.0571644834559903</v>
      </c>
      <c r="H147" s="326" t="s">
        <v>959</v>
      </c>
      <c r="I147" s="316">
        <f t="shared" si="12"/>
        <v>7</v>
      </c>
    </row>
    <row r="148" s="291" customFormat="1" ht="78" customHeight="1" spans="1:9">
      <c r="A148" s="310">
        <v>2040202</v>
      </c>
      <c r="B148" s="321" t="s">
        <v>50</v>
      </c>
      <c r="C148" s="322">
        <v>13596</v>
      </c>
      <c r="D148" s="323"/>
      <c r="E148" s="322">
        <v>7376.58</v>
      </c>
      <c r="F148" s="324">
        <f t="shared" si="11"/>
        <v>7376.58</v>
      </c>
      <c r="G148" s="325">
        <f t="shared" si="13"/>
        <v>-0.457444836716681</v>
      </c>
      <c r="H148" s="326" t="s">
        <v>960</v>
      </c>
      <c r="I148" s="316">
        <f t="shared" si="12"/>
        <v>7</v>
      </c>
    </row>
    <row r="149" s="291" customFormat="1" ht="24.95" customHeight="1" spans="1:9">
      <c r="A149" s="331">
        <v>2040204</v>
      </c>
      <c r="B149" s="327" t="s">
        <v>165</v>
      </c>
      <c r="C149" s="322"/>
      <c r="D149" s="323"/>
      <c r="E149" s="322"/>
      <c r="F149" s="324"/>
      <c r="G149" s="328"/>
      <c r="H149" s="326"/>
      <c r="I149" s="316">
        <f t="shared" si="12"/>
        <v>7</v>
      </c>
    </row>
    <row r="150" s="291" customFormat="1" ht="24.95" customHeight="1" spans="1:9">
      <c r="A150" s="331">
        <v>2040205</v>
      </c>
      <c r="B150" s="327" t="s">
        <v>166</v>
      </c>
      <c r="C150" s="322"/>
      <c r="D150" s="323"/>
      <c r="E150" s="322"/>
      <c r="F150" s="324"/>
      <c r="G150" s="328"/>
      <c r="H150" s="326"/>
      <c r="I150" s="316">
        <f t="shared" si="12"/>
        <v>7</v>
      </c>
    </row>
    <row r="151" s="291" customFormat="1" ht="24.95" customHeight="1" spans="1:9">
      <c r="A151" s="331">
        <v>2040206</v>
      </c>
      <c r="B151" s="327" t="s">
        <v>167</v>
      </c>
      <c r="C151" s="322"/>
      <c r="D151" s="323"/>
      <c r="E151" s="322"/>
      <c r="F151" s="324"/>
      <c r="G151" s="328"/>
      <c r="H151" s="326"/>
      <c r="I151" s="316">
        <f t="shared" si="12"/>
        <v>7</v>
      </c>
    </row>
    <row r="152" s="291" customFormat="1" ht="24.95" customHeight="1" spans="1:9">
      <c r="A152" s="331">
        <v>2040207</v>
      </c>
      <c r="B152" s="327" t="s">
        <v>168</v>
      </c>
      <c r="C152" s="322"/>
      <c r="D152" s="323"/>
      <c r="E152" s="322"/>
      <c r="F152" s="324"/>
      <c r="G152" s="328"/>
      <c r="H152" s="326"/>
      <c r="I152" s="316">
        <f t="shared" si="12"/>
        <v>7</v>
      </c>
    </row>
    <row r="153" s="291" customFormat="1" ht="24.95" customHeight="1" spans="1:9">
      <c r="A153" s="331">
        <v>2040208</v>
      </c>
      <c r="B153" s="327" t="s">
        <v>169</v>
      </c>
      <c r="C153" s="322"/>
      <c r="D153" s="323"/>
      <c r="E153" s="322"/>
      <c r="F153" s="324"/>
      <c r="G153" s="328"/>
      <c r="H153" s="326"/>
      <c r="I153" s="316">
        <f t="shared" si="12"/>
        <v>7</v>
      </c>
    </row>
    <row r="154" s="291" customFormat="1" ht="24.95" customHeight="1" spans="1:9">
      <c r="A154" s="331">
        <v>2040211</v>
      </c>
      <c r="B154" s="327" t="s">
        <v>170</v>
      </c>
      <c r="C154" s="322"/>
      <c r="D154" s="323"/>
      <c r="E154" s="322"/>
      <c r="F154" s="324"/>
      <c r="G154" s="328"/>
      <c r="H154" s="326"/>
      <c r="I154" s="316">
        <f t="shared" si="12"/>
        <v>7</v>
      </c>
    </row>
    <row r="155" s="291" customFormat="1" ht="24.95" customHeight="1" spans="1:9">
      <c r="A155" s="331">
        <v>2040212</v>
      </c>
      <c r="B155" s="327" t="s">
        <v>171</v>
      </c>
      <c r="C155" s="322"/>
      <c r="D155" s="323"/>
      <c r="E155" s="322"/>
      <c r="F155" s="324"/>
      <c r="G155" s="328"/>
      <c r="H155" s="326"/>
      <c r="I155" s="316">
        <f t="shared" si="12"/>
        <v>7</v>
      </c>
    </row>
    <row r="156" s="291" customFormat="1" ht="24.95" customHeight="1" spans="1:9">
      <c r="A156" s="331">
        <v>2040214</v>
      </c>
      <c r="B156" s="327" t="s">
        <v>172</v>
      </c>
      <c r="C156" s="322"/>
      <c r="D156" s="323"/>
      <c r="E156" s="322"/>
      <c r="F156" s="324"/>
      <c r="G156" s="328"/>
      <c r="H156" s="326"/>
      <c r="I156" s="316">
        <f t="shared" si="12"/>
        <v>7</v>
      </c>
    </row>
    <row r="157" s="291" customFormat="1" ht="24.95" customHeight="1" spans="1:9">
      <c r="A157" s="331">
        <v>2040215</v>
      </c>
      <c r="B157" s="327" t="s">
        <v>173</v>
      </c>
      <c r="C157" s="322"/>
      <c r="D157" s="323"/>
      <c r="E157" s="322"/>
      <c r="F157" s="324"/>
      <c r="G157" s="328"/>
      <c r="H157" s="326"/>
      <c r="I157" s="316">
        <f t="shared" si="12"/>
        <v>7</v>
      </c>
    </row>
    <row r="158" s="291" customFormat="1" ht="24.95" customHeight="1" spans="1:9">
      <c r="A158" s="331">
        <v>2040217</v>
      </c>
      <c r="B158" s="327" t="s">
        <v>174</v>
      </c>
      <c r="C158" s="322"/>
      <c r="D158" s="323"/>
      <c r="E158" s="322"/>
      <c r="F158" s="324"/>
      <c r="G158" s="328"/>
      <c r="H158" s="326"/>
      <c r="I158" s="316">
        <f t="shared" si="12"/>
        <v>7</v>
      </c>
    </row>
    <row r="159" s="291" customFormat="1" ht="24.95" customHeight="1" spans="1:9">
      <c r="A159" s="310">
        <v>2040219</v>
      </c>
      <c r="B159" s="321" t="s">
        <v>85</v>
      </c>
      <c r="C159" s="322">
        <v>19910</v>
      </c>
      <c r="D159" s="323"/>
      <c r="E159" s="322">
        <v>16966.58</v>
      </c>
      <c r="F159" s="324">
        <f t="shared" si="11"/>
        <v>16966.58</v>
      </c>
      <c r="G159" s="325">
        <f t="shared" si="13"/>
        <v>-0.147836263184329</v>
      </c>
      <c r="H159" s="326"/>
      <c r="I159" s="316">
        <f t="shared" si="12"/>
        <v>7</v>
      </c>
    </row>
    <row r="160" s="291" customFormat="1" ht="24.95" customHeight="1" spans="1:9">
      <c r="A160" s="310">
        <v>2040220</v>
      </c>
      <c r="B160" s="321" t="s">
        <v>176</v>
      </c>
      <c r="C160" s="322">
        <f>94176-1</f>
        <v>94175</v>
      </c>
      <c r="D160" s="323"/>
      <c r="E160" s="322">
        <v>106312.24</v>
      </c>
      <c r="F160" s="324">
        <f t="shared" si="11"/>
        <v>106312.24</v>
      </c>
      <c r="G160" s="325">
        <f t="shared" si="13"/>
        <v>0.128879638970003</v>
      </c>
      <c r="H160" s="326"/>
      <c r="I160" s="316">
        <f t="shared" si="12"/>
        <v>7</v>
      </c>
    </row>
    <row r="161" s="291" customFormat="1" ht="24.95" customHeight="1" spans="1:9">
      <c r="A161" s="310">
        <v>2040299</v>
      </c>
      <c r="B161" s="321" t="s">
        <v>178</v>
      </c>
      <c r="C161" s="322">
        <v>10142</v>
      </c>
      <c r="D161" s="323"/>
      <c r="E161" s="322">
        <v>100</v>
      </c>
      <c r="F161" s="324">
        <f t="shared" si="11"/>
        <v>100</v>
      </c>
      <c r="G161" s="325">
        <f t="shared" si="13"/>
        <v>-0.990140011831986</v>
      </c>
      <c r="H161" s="326"/>
      <c r="I161" s="316">
        <f t="shared" si="12"/>
        <v>7</v>
      </c>
    </row>
    <row r="162" s="291" customFormat="1" ht="24.95" customHeight="1" spans="1:9">
      <c r="A162" s="310">
        <v>20403</v>
      </c>
      <c r="B162" s="317" t="s">
        <v>180</v>
      </c>
      <c r="C162" s="318">
        <f>SUM(C163:C166)</f>
        <v>1651</v>
      </c>
      <c r="D162" s="318"/>
      <c r="E162" s="318">
        <f>SUM(E163:E165)</f>
        <v>1492.83</v>
      </c>
      <c r="F162" s="319">
        <f t="shared" si="11"/>
        <v>1492.83</v>
      </c>
      <c r="G162" s="320">
        <f t="shared" si="13"/>
        <v>-0.0958025439127802</v>
      </c>
      <c r="H162" s="330"/>
      <c r="I162" s="316">
        <f t="shared" si="12"/>
        <v>5</v>
      </c>
    </row>
    <row r="163" s="291" customFormat="1" ht="24.95" customHeight="1" spans="1:9">
      <c r="A163" s="310">
        <v>2040301</v>
      </c>
      <c r="B163" s="321" t="s">
        <v>49</v>
      </c>
      <c r="C163" s="322">
        <v>1035</v>
      </c>
      <c r="D163" s="323"/>
      <c r="E163" s="322">
        <v>978.25</v>
      </c>
      <c r="F163" s="324">
        <f t="shared" si="11"/>
        <v>978.25</v>
      </c>
      <c r="G163" s="325">
        <f t="shared" si="13"/>
        <v>-0.0548309178743961</v>
      </c>
      <c r="H163" s="326"/>
      <c r="I163" s="316">
        <f t="shared" si="12"/>
        <v>7</v>
      </c>
    </row>
    <row r="164" s="291" customFormat="1" ht="24.95" customHeight="1" spans="1:9">
      <c r="A164" s="310">
        <v>2040302</v>
      </c>
      <c r="B164" s="321" t="s">
        <v>50</v>
      </c>
      <c r="C164" s="322">
        <v>49</v>
      </c>
      <c r="D164" s="323"/>
      <c r="E164" s="322">
        <v>24.58</v>
      </c>
      <c r="F164" s="324">
        <f t="shared" si="11"/>
        <v>24.58</v>
      </c>
      <c r="G164" s="325">
        <f t="shared" si="13"/>
        <v>-0.498367346938775</v>
      </c>
      <c r="H164" s="326"/>
      <c r="I164" s="316">
        <f t="shared" si="12"/>
        <v>7</v>
      </c>
    </row>
    <row r="165" s="291" customFormat="1" ht="24.95" customHeight="1" spans="1:9">
      <c r="A165" s="310">
        <v>2040304</v>
      </c>
      <c r="B165" s="321" t="s">
        <v>181</v>
      </c>
      <c r="C165" s="322">
        <v>558</v>
      </c>
      <c r="D165" s="322"/>
      <c r="E165" s="322">
        <v>490</v>
      </c>
      <c r="F165" s="324">
        <f t="shared" si="11"/>
        <v>490</v>
      </c>
      <c r="G165" s="325">
        <f t="shared" si="13"/>
        <v>-0.121863799283154</v>
      </c>
      <c r="H165" s="326"/>
      <c r="I165" s="316">
        <f t="shared" si="12"/>
        <v>7</v>
      </c>
    </row>
    <row r="166" s="291" customFormat="1" ht="24.95" customHeight="1" spans="1:9">
      <c r="A166" s="310">
        <v>2040399</v>
      </c>
      <c r="B166" s="321" t="s">
        <v>182</v>
      </c>
      <c r="C166" s="322">
        <v>9</v>
      </c>
      <c r="D166" s="322"/>
      <c r="E166" s="322"/>
      <c r="F166" s="324"/>
      <c r="G166" s="325">
        <f t="shared" si="13"/>
        <v>-1</v>
      </c>
      <c r="H166" s="326"/>
      <c r="I166" s="316"/>
    </row>
    <row r="167" s="291" customFormat="1" ht="24.95" customHeight="1" spans="1:9">
      <c r="A167" s="336">
        <v>20405</v>
      </c>
      <c r="B167" s="332" t="s">
        <v>183</v>
      </c>
      <c r="C167" s="318"/>
      <c r="D167" s="318"/>
      <c r="E167" s="318"/>
      <c r="F167" s="319"/>
      <c r="G167" s="333"/>
      <c r="H167" s="330"/>
      <c r="I167" s="316">
        <f t="shared" ref="I167:I176" si="15">LEN(A167)</f>
        <v>5</v>
      </c>
    </row>
    <row r="168" s="291" customFormat="1" ht="24.95" customHeight="1" spans="1:9">
      <c r="A168" s="331">
        <v>2040506</v>
      </c>
      <c r="B168" s="327" t="s">
        <v>184</v>
      </c>
      <c r="C168" s="322"/>
      <c r="D168" s="323"/>
      <c r="E168" s="322"/>
      <c r="F168" s="324"/>
      <c r="G168" s="328"/>
      <c r="H168" s="326"/>
      <c r="I168" s="316">
        <f t="shared" si="15"/>
        <v>7</v>
      </c>
    </row>
    <row r="169" s="291" customFormat="1" ht="24.95" customHeight="1" spans="1:9">
      <c r="A169" s="310">
        <v>20406</v>
      </c>
      <c r="B169" s="317" t="s">
        <v>185</v>
      </c>
      <c r="C169" s="318">
        <f>SUM(C170:C178)</f>
        <v>6690</v>
      </c>
      <c r="D169" s="318"/>
      <c r="E169" s="318">
        <f>SUM(E170:E179)</f>
        <v>6800.46</v>
      </c>
      <c r="F169" s="319">
        <f t="shared" ref="F169:F230" si="16">D169+E169</f>
        <v>6800.46</v>
      </c>
      <c r="G169" s="320">
        <f t="shared" si="13"/>
        <v>0.0165112107623318</v>
      </c>
      <c r="H169" s="330"/>
      <c r="I169" s="316">
        <f t="shared" si="15"/>
        <v>5</v>
      </c>
    </row>
    <row r="170" s="291" customFormat="1" ht="24.95" customHeight="1" spans="1:9">
      <c r="A170" s="310">
        <v>2040601</v>
      </c>
      <c r="B170" s="321" t="s">
        <v>49</v>
      </c>
      <c r="C170" s="322">
        <v>1513</v>
      </c>
      <c r="D170" s="323"/>
      <c r="E170" s="322">
        <v>1710.46</v>
      </c>
      <c r="F170" s="324">
        <f t="shared" si="16"/>
        <v>1710.46</v>
      </c>
      <c r="G170" s="325">
        <f t="shared" si="13"/>
        <v>0.130508922670192</v>
      </c>
      <c r="H170" s="326"/>
      <c r="I170" s="316">
        <f t="shared" si="15"/>
        <v>7</v>
      </c>
    </row>
    <row r="171" s="291" customFormat="1" ht="24.95" customHeight="1" spans="1:9">
      <c r="A171" s="310">
        <v>2040602</v>
      </c>
      <c r="B171" s="321" t="s">
        <v>50</v>
      </c>
      <c r="C171" s="322">
        <v>164</v>
      </c>
      <c r="D171" s="323"/>
      <c r="E171" s="322">
        <v>48.84</v>
      </c>
      <c r="F171" s="324">
        <f t="shared" si="16"/>
        <v>48.84</v>
      </c>
      <c r="G171" s="325">
        <f t="shared" si="13"/>
        <v>-0.702195121951219</v>
      </c>
      <c r="H171" s="326"/>
      <c r="I171" s="316">
        <f t="shared" si="15"/>
        <v>7</v>
      </c>
    </row>
    <row r="172" s="291" customFormat="1" ht="24.95" customHeight="1" spans="1:9">
      <c r="A172" s="310">
        <v>2040604</v>
      </c>
      <c r="B172" s="321" t="s">
        <v>186</v>
      </c>
      <c r="C172" s="322">
        <v>3908</v>
      </c>
      <c r="D172" s="323"/>
      <c r="E172" s="322">
        <v>3782.66</v>
      </c>
      <c r="F172" s="324">
        <f t="shared" si="16"/>
        <v>3782.66</v>
      </c>
      <c r="G172" s="325">
        <f t="shared" si="13"/>
        <v>-0.0320726714431935</v>
      </c>
      <c r="H172" s="326"/>
      <c r="I172" s="316">
        <f t="shared" si="15"/>
        <v>7</v>
      </c>
    </row>
    <row r="173" s="291" customFormat="1" ht="24.95" customHeight="1" spans="1:9">
      <c r="A173" s="310">
        <v>2040605</v>
      </c>
      <c r="B173" s="321" t="s">
        <v>187</v>
      </c>
      <c r="C173" s="322">
        <v>113</v>
      </c>
      <c r="D173" s="323"/>
      <c r="E173" s="322">
        <v>110</v>
      </c>
      <c r="F173" s="324">
        <f t="shared" si="16"/>
        <v>110</v>
      </c>
      <c r="G173" s="325">
        <f t="shared" si="13"/>
        <v>-0.0265486725663717</v>
      </c>
      <c r="H173" s="326"/>
      <c r="I173" s="316">
        <f t="shared" si="15"/>
        <v>7</v>
      </c>
    </row>
    <row r="174" s="291" customFormat="1" ht="24.95" customHeight="1" spans="1:9">
      <c r="A174" s="310">
        <v>2040606</v>
      </c>
      <c r="B174" s="321" t="s">
        <v>188</v>
      </c>
      <c r="C174" s="322">
        <v>300</v>
      </c>
      <c r="D174" s="323"/>
      <c r="E174" s="322">
        <v>82.36</v>
      </c>
      <c r="F174" s="324">
        <f t="shared" si="16"/>
        <v>82.36</v>
      </c>
      <c r="G174" s="325">
        <f t="shared" si="13"/>
        <v>-0.725466666666667</v>
      </c>
      <c r="H174" s="326"/>
      <c r="I174" s="316">
        <f t="shared" si="15"/>
        <v>7</v>
      </c>
    </row>
    <row r="175" s="291" customFormat="1" ht="24.95" customHeight="1" spans="1:9">
      <c r="A175" s="310">
        <v>2040607</v>
      </c>
      <c r="B175" s="321" t="s">
        <v>190</v>
      </c>
      <c r="C175" s="322">
        <v>374</v>
      </c>
      <c r="D175" s="323"/>
      <c r="E175" s="322">
        <v>690.16</v>
      </c>
      <c r="F175" s="324">
        <f t="shared" si="16"/>
        <v>690.16</v>
      </c>
      <c r="G175" s="325">
        <f t="shared" si="13"/>
        <v>0.845347593582888</v>
      </c>
      <c r="H175" s="326"/>
      <c r="I175" s="316">
        <f t="shared" si="15"/>
        <v>7</v>
      </c>
    </row>
    <row r="176" s="291" customFormat="1" ht="24.95" customHeight="1" spans="1:9">
      <c r="A176" s="310">
        <v>2040610</v>
      </c>
      <c r="B176" s="321" t="s">
        <v>191</v>
      </c>
      <c r="C176" s="322">
        <v>255</v>
      </c>
      <c r="D176" s="323"/>
      <c r="E176" s="322">
        <v>169.94</v>
      </c>
      <c r="F176" s="324">
        <f t="shared" si="16"/>
        <v>169.94</v>
      </c>
      <c r="G176" s="325">
        <f t="shared" si="13"/>
        <v>-0.33356862745098</v>
      </c>
      <c r="H176" s="326"/>
      <c r="I176" s="316">
        <f t="shared" si="15"/>
        <v>7</v>
      </c>
    </row>
    <row r="177" s="291" customFormat="1" ht="24.95" customHeight="1" spans="1:9">
      <c r="A177" s="310">
        <v>2040612</v>
      </c>
      <c r="B177" s="321" t="s">
        <v>192</v>
      </c>
      <c r="C177" s="322">
        <v>63</v>
      </c>
      <c r="D177" s="323"/>
      <c r="E177" s="322">
        <v>143.04</v>
      </c>
      <c r="F177" s="324">
        <f t="shared" si="16"/>
        <v>143.04</v>
      </c>
      <c r="G177" s="325">
        <f t="shared" si="13"/>
        <v>1.27047619047619</v>
      </c>
      <c r="H177" s="326"/>
      <c r="I177" s="316">
        <v>7</v>
      </c>
    </row>
    <row r="178" s="291" customFormat="1" ht="24.95" customHeight="1" spans="1:9">
      <c r="A178" s="310">
        <v>2040650</v>
      </c>
      <c r="B178" s="321" t="s">
        <v>65</v>
      </c>
      <c r="C178" s="322"/>
      <c r="D178" s="323"/>
      <c r="E178" s="322">
        <v>0</v>
      </c>
      <c r="F178" s="324"/>
      <c r="G178" s="328"/>
      <c r="H178" s="326"/>
      <c r="I178" s="316">
        <f t="shared" ref="I178:I207" si="17">LEN(A178)</f>
        <v>7</v>
      </c>
    </row>
    <row r="179" s="291" customFormat="1" ht="24.95" customHeight="1" spans="1:9">
      <c r="A179" s="310">
        <v>2040699</v>
      </c>
      <c r="B179" s="321" t="s">
        <v>961</v>
      </c>
      <c r="C179" s="322"/>
      <c r="D179" s="323"/>
      <c r="E179" s="322">
        <v>63</v>
      </c>
      <c r="F179" s="324">
        <f t="shared" si="16"/>
        <v>63</v>
      </c>
      <c r="G179" s="328" t="s">
        <v>20</v>
      </c>
      <c r="H179" s="326"/>
      <c r="I179" s="316">
        <v>7</v>
      </c>
    </row>
    <row r="180" s="291" customFormat="1" ht="24.95" customHeight="1" spans="1:9">
      <c r="A180" s="310">
        <v>20408</v>
      </c>
      <c r="B180" s="317" t="s">
        <v>193</v>
      </c>
      <c r="C180" s="318">
        <f>SUM(C181:C183)</f>
        <v>942</v>
      </c>
      <c r="D180" s="318"/>
      <c r="E180" s="318">
        <f>SUM(E181:E183)</f>
        <v>948.93</v>
      </c>
      <c r="F180" s="319">
        <f t="shared" si="16"/>
        <v>948.93</v>
      </c>
      <c r="G180" s="320">
        <f t="shared" si="13"/>
        <v>0.0073566878980893</v>
      </c>
      <c r="H180" s="330"/>
      <c r="I180" s="316">
        <f t="shared" si="17"/>
        <v>5</v>
      </c>
    </row>
    <row r="181" s="291" customFormat="1" ht="24.95" customHeight="1" spans="1:9">
      <c r="A181" s="310">
        <v>2040801</v>
      </c>
      <c r="B181" s="321" t="s">
        <v>49</v>
      </c>
      <c r="C181" s="322">
        <v>225</v>
      </c>
      <c r="D181" s="323"/>
      <c r="E181" s="322">
        <v>353.38</v>
      </c>
      <c r="F181" s="324">
        <f t="shared" si="16"/>
        <v>353.38</v>
      </c>
      <c r="G181" s="325">
        <f t="shared" si="13"/>
        <v>0.570577777777778</v>
      </c>
      <c r="H181" s="326"/>
      <c r="I181" s="316">
        <f t="shared" si="17"/>
        <v>7</v>
      </c>
    </row>
    <row r="182" s="291" customFormat="1" ht="24.95" customHeight="1" spans="1:9">
      <c r="A182" s="310">
        <v>2040802</v>
      </c>
      <c r="B182" s="321" t="s">
        <v>50</v>
      </c>
      <c r="C182" s="322">
        <v>172</v>
      </c>
      <c r="D182" s="323"/>
      <c r="E182" s="322">
        <v>23.8</v>
      </c>
      <c r="F182" s="324">
        <f t="shared" si="16"/>
        <v>23.8</v>
      </c>
      <c r="G182" s="325">
        <f t="shared" si="13"/>
        <v>-0.861627906976744</v>
      </c>
      <c r="H182" s="326"/>
      <c r="I182" s="316">
        <f t="shared" si="17"/>
        <v>7</v>
      </c>
    </row>
    <row r="183" s="291" customFormat="1" ht="24.95" customHeight="1" spans="1:9">
      <c r="A183" s="310">
        <v>2040804</v>
      </c>
      <c r="B183" s="321" t="s">
        <v>195</v>
      </c>
      <c r="C183" s="322">
        <v>545</v>
      </c>
      <c r="D183" s="323"/>
      <c r="E183" s="322">
        <v>571.75</v>
      </c>
      <c r="F183" s="324">
        <f t="shared" si="16"/>
        <v>571.75</v>
      </c>
      <c r="G183" s="325">
        <f t="shared" si="13"/>
        <v>0.0490825688073395</v>
      </c>
      <c r="H183" s="326"/>
      <c r="I183" s="316">
        <f t="shared" si="17"/>
        <v>7</v>
      </c>
    </row>
    <row r="184" s="291" customFormat="1" ht="24.95" customHeight="1" spans="1:9">
      <c r="A184" s="310">
        <v>20499</v>
      </c>
      <c r="B184" s="317" t="s">
        <v>196</v>
      </c>
      <c r="C184" s="318">
        <f>C185</f>
        <v>10323</v>
      </c>
      <c r="D184" s="318"/>
      <c r="E184" s="318">
        <v>7903.34</v>
      </c>
      <c r="F184" s="319">
        <f t="shared" si="16"/>
        <v>7903.34</v>
      </c>
      <c r="G184" s="320">
        <f t="shared" si="13"/>
        <v>-0.234395040201492</v>
      </c>
      <c r="H184" s="330"/>
      <c r="I184" s="316">
        <f t="shared" si="17"/>
        <v>5</v>
      </c>
    </row>
    <row r="185" s="291" customFormat="1" ht="83.1" customHeight="1" spans="1:9">
      <c r="A185" s="310">
        <v>2049901</v>
      </c>
      <c r="B185" s="321" t="s">
        <v>197</v>
      </c>
      <c r="C185" s="322">
        <v>10323</v>
      </c>
      <c r="D185" s="323"/>
      <c r="E185" s="322">
        <v>7903.34</v>
      </c>
      <c r="F185" s="324">
        <f t="shared" si="16"/>
        <v>7903.34</v>
      </c>
      <c r="G185" s="325">
        <f t="shared" si="13"/>
        <v>-0.234395040201492</v>
      </c>
      <c r="H185" s="326" t="s">
        <v>962</v>
      </c>
      <c r="I185" s="316">
        <f t="shared" si="17"/>
        <v>7</v>
      </c>
    </row>
    <row r="186" s="291" customFormat="1" ht="24.95" customHeight="1" spans="1:9">
      <c r="A186" s="310">
        <v>2049902</v>
      </c>
      <c r="B186" s="327" t="s">
        <v>198</v>
      </c>
      <c r="C186" s="322"/>
      <c r="D186" s="323"/>
      <c r="E186" s="322"/>
      <c r="F186" s="324">
        <f t="shared" si="16"/>
        <v>0</v>
      </c>
      <c r="G186" s="328" t="s">
        <v>20</v>
      </c>
      <c r="H186" s="326"/>
      <c r="I186" s="316">
        <f t="shared" si="17"/>
        <v>7</v>
      </c>
    </row>
    <row r="187" s="291" customFormat="1" ht="24.95" customHeight="1" spans="1:9">
      <c r="A187" s="310">
        <v>205</v>
      </c>
      <c r="B187" s="311" t="s">
        <v>199</v>
      </c>
      <c r="C187" s="312">
        <f>C188+C192+C199+C202+C204+C206+C209+C213+C215</f>
        <v>936606</v>
      </c>
      <c r="D187" s="313">
        <f>D192+D199+D213</f>
        <v>40523</v>
      </c>
      <c r="E187" s="313">
        <f>E188+E192+E199+E202+E204+E206+E209+E213+E215</f>
        <v>958447.85</v>
      </c>
      <c r="F187" s="314">
        <f t="shared" si="16"/>
        <v>998970.85</v>
      </c>
      <c r="G187" s="315">
        <f t="shared" si="13"/>
        <v>0.0665860030792031</v>
      </c>
      <c r="H187" s="337"/>
      <c r="I187" s="316">
        <f t="shared" si="17"/>
        <v>3</v>
      </c>
    </row>
    <row r="188" s="291" customFormat="1" ht="24.95" customHeight="1" spans="1:9">
      <c r="A188" s="310">
        <v>20501</v>
      </c>
      <c r="B188" s="317" t="s">
        <v>200</v>
      </c>
      <c r="C188" s="318">
        <f>SUM(C189:C191)</f>
        <v>18591</v>
      </c>
      <c r="D188" s="318"/>
      <c r="E188" s="318">
        <f>SUM(E189:E191)</f>
        <v>9357.58</v>
      </c>
      <c r="F188" s="319">
        <f t="shared" si="16"/>
        <v>9357.58</v>
      </c>
      <c r="G188" s="320">
        <f t="shared" si="13"/>
        <v>-0.496660749825184</v>
      </c>
      <c r="H188" s="330"/>
      <c r="I188" s="316">
        <f t="shared" si="17"/>
        <v>5</v>
      </c>
    </row>
    <row r="189" s="291" customFormat="1" ht="46.5" customHeight="1" spans="1:9">
      <c r="A189" s="310">
        <v>2050101</v>
      </c>
      <c r="B189" s="321" t="s">
        <v>49</v>
      </c>
      <c r="C189" s="322">
        <v>7587</v>
      </c>
      <c r="D189" s="323"/>
      <c r="E189" s="322">
        <v>6957.91</v>
      </c>
      <c r="F189" s="324">
        <f t="shared" si="16"/>
        <v>6957.91</v>
      </c>
      <c r="G189" s="325">
        <f t="shared" si="13"/>
        <v>-0.0829168314221695</v>
      </c>
      <c r="H189" s="326" t="s">
        <v>963</v>
      </c>
      <c r="I189" s="316">
        <f t="shared" si="17"/>
        <v>7</v>
      </c>
    </row>
    <row r="190" s="291" customFormat="1" ht="33" customHeight="1" spans="1:9">
      <c r="A190" s="310">
        <v>2050102</v>
      </c>
      <c r="B190" s="321" t="s">
        <v>50</v>
      </c>
      <c r="C190" s="322">
        <v>1019</v>
      </c>
      <c r="D190" s="323"/>
      <c r="E190" s="322">
        <v>464.13</v>
      </c>
      <c r="F190" s="324">
        <f t="shared" si="16"/>
        <v>464.13</v>
      </c>
      <c r="G190" s="325">
        <f t="shared" si="13"/>
        <v>-0.544524043179588</v>
      </c>
      <c r="H190" s="326" t="s">
        <v>931</v>
      </c>
      <c r="I190" s="316">
        <f t="shared" si="17"/>
        <v>7</v>
      </c>
    </row>
    <row r="191" s="291" customFormat="1" ht="153.75" customHeight="1" spans="1:9">
      <c r="A191" s="310">
        <v>2050199</v>
      </c>
      <c r="B191" s="321" t="s">
        <v>202</v>
      </c>
      <c r="C191" s="322">
        <v>9985</v>
      </c>
      <c r="D191" s="323"/>
      <c r="E191" s="322">
        <v>1935.54</v>
      </c>
      <c r="F191" s="324">
        <f t="shared" si="16"/>
        <v>1935.54</v>
      </c>
      <c r="G191" s="325">
        <f t="shared" si="13"/>
        <v>-0.806155232849274</v>
      </c>
      <c r="H191" s="326" t="s">
        <v>964</v>
      </c>
      <c r="I191" s="316">
        <f t="shared" si="17"/>
        <v>7</v>
      </c>
    </row>
    <row r="192" s="291" customFormat="1" ht="24.95" customHeight="1" spans="1:9">
      <c r="A192" s="310">
        <v>20502</v>
      </c>
      <c r="B192" s="317" t="s">
        <v>204</v>
      </c>
      <c r="C192" s="318">
        <f>SUM(C193:C198)</f>
        <v>694900</v>
      </c>
      <c r="D192" s="318">
        <f>D194+D196+D198</f>
        <v>40034</v>
      </c>
      <c r="E192" s="318">
        <f>SUM(E193:E198)</f>
        <v>689451.54</v>
      </c>
      <c r="F192" s="319">
        <f t="shared" si="16"/>
        <v>729485.54</v>
      </c>
      <c r="G192" s="320">
        <f t="shared" si="13"/>
        <v>0.0497705281335445</v>
      </c>
      <c r="H192" s="330"/>
      <c r="I192" s="316">
        <f t="shared" si="17"/>
        <v>5</v>
      </c>
    </row>
    <row r="193" s="291" customFormat="1" ht="67.5" customHeight="1" spans="1:9">
      <c r="A193" s="310">
        <v>2050201</v>
      </c>
      <c r="B193" s="321" t="s">
        <v>205</v>
      </c>
      <c r="C193" s="322">
        <v>65202</v>
      </c>
      <c r="D193" s="323"/>
      <c r="E193" s="322">
        <v>118310.76</v>
      </c>
      <c r="F193" s="324">
        <f t="shared" si="16"/>
        <v>118310.76</v>
      </c>
      <c r="G193" s="325">
        <f t="shared" si="13"/>
        <v>0.814526548265391</v>
      </c>
      <c r="H193" s="326" t="s">
        <v>965</v>
      </c>
      <c r="I193" s="316">
        <f t="shared" si="17"/>
        <v>7</v>
      </c>
    </row>
    <row r="194" s="291" customFormat="1" ht="63" customHeight="1" spans="1:9">
      <c r="A194" s="310">
        <v>2050202</v>
      </c>
      <c r="B194" s="321" t="s">
        <v>207</v>
      </c>
      <c r="C194" s="322">
        <v>152882</v>
      </c>
      <c r="D194" s="323">
        <f>262-257</f>
        <v>5</v>
      </c>
      <c r="E194" s="322">
        <v>143279.57</v>
      </c>
      <c r="F194" s="324">
        <f t="shared" si="16"/>
        <v>143284.57</v>
      </c>
      <c r="G194" s="325">
        <f t="shared" si="13"/>
        <v>-0.0627767166834552</v>
      </c>
      <c r="H194" s="326" t="s">
        <v>966</v>
      </c>
      <c r="I194" s="316">
        <f t="shared" si="17"/>
        <v>7</v>
      </c>
    </row>
    <row r="195" s="291" customFormat="1" ht="58.5" customHeight="1" spans="1:9">
      <c r="A195" s="310">
        <v>2050203</v>
      </c>
      <c r="B195" s="321" t="s">
        <v>209</v>
      </c>
      <c r="C195" s="322">
        <v>242195</v>
      </c>
      <c r="D195" s="323"/>
      <c r="E195" s="322">
        <f>231757.3-987</f>
        <v>230770.3</v>
      </c>
      <c r="F195" s="324">
        <f t="shared" si="16"/>
        <v>230770.3</v>
      </c>
      <c r="G195" s="325">
        <f t="shared" si="13"/>
        <v>-0.0471714940440554</v>
      </c>
      <c r="H195" s="326" t="s">
        <v>967</v>
      </c>
      <c r="I195" s="316">
        <f t="shared" si="17"/>
        <v>7</v>
      </c>
    </row>
    <row r="196" s="291" customFormat="1" ht="50.25" customHeight="1" spans="1:9">
      <c r="A196" s="310">
        <v>2050204</v>
      </c>
      <c r="B196" s="321" t="s">
        <v>210</v>
      </c>
      <c r="C196" s="322">
        <v>76365</v>
      </c>
      <c r="D196" s="323">
        <v>89</v>
      </c>
      <c r="E196" s="322">
        <v>68764.91</v>
      </c>
      <c r="F196" s="324">
        <f t="shared" si="16"/>
        <v>68853.91</v>
      </c>
      <c r="G196" s="325">
        <f t="shared" si="13"/>
        <v>-0.0983577555162705</v>
      </c>
      <c r="H196" s="326" t="s">
        <v>968</v>
      </c>
      <c r="I196" s="316">
        <f t="shared" si="17"/>
        <v>7</v>
      </c>
    </row>
    <row r="197" s="291" customFormat="1" ht="24.95" customHeight="1" spans="1:9">
      <c r="A197" s="310">
        <v>2050205</v>
      </c>
      <c r="B197" s="327" t="s">
        <v>211</v>
      </c>
      <c r="C197" s="322"/>
      <c r="D197" s="323"/>
      <c r="E197" s="334"/>
      <c r="F197" s="324"/>
      <c r="G197" s="328"/>
      <c r="H197" s="326"/>
      <c r="I197" s="316">
        <f t="shared" si="17"/>
        <v>7</v>
      </c>
    </row>
    <row r="198" s="291" customFormat="1" ht="68.25" customHeight="1" spans="1:9">
      <c r="A198" s="310">
        <v>2050299</v>
      </c>
      <c r="B198" s="321" t="s">
        <v>212</v>
      </c>
      <c r="C198" s="322">
        <v>158256</v>
      </c>
      <c r="D198" s="323">
        <f>40+39900</f>
        <v>39940</v>
      </c>
      <c r="E198" s="322">
        <v>128326</v>
      </c>
      <c r="F198" s="324">
        <f t="shared" si="16"/>
        <v>168266</v>
      </c>
      <c r="G198" s="325">
        <f t="shared" si="13"/>
        <v>0.0632519462137298</v>
      </c>
      <c r="H198" s="326" t="s">
        <v>969</v>
      </c>
      <c r="I198" s="316">
        <f t="shared" si="17"/>
        <v>7</v>
      </c>
    </row>
    <row r="199" s="291" customFormat="1" ht="24.95" customHeight="1" spans="1:9">
      <c r="A199" s="310">
        <v>20503</v>
      </c>
      <c r="B199" s="317" t="s">
        <v>214</v>
      </c>
      <c r="C199" s="318">
        <f>SUM(C200:C201)</f>
        <v>22085</v>
      </c>
      <c r="D199" s="318">
        <f>D200</f>
        <v>393</v>
      </c>
      <c r="E199" s="318">
        <f>SUM(E200:E201)</f>
        <v>19540.06</v>
      </c>
      <c r="F199" s="319">
        <f t="shared" si="16"/>
        <v>19933.06</v>
      </c>
      <c r="G199" s="320">
        <f t="shared" ref="G199:G260" si="18">F199/C199-1</f>
        <v>-0.0974389857369254</v>
      </c>
      <c r="H199" s="330"/>
      <c r="I199" s="316">
        <f t="shared" si="17"/>
        <v>5</v>
      </c>
    </row>
    <row r="200" s="291" customFormat="1" ht="51.75" customHeight="1" spans="1:9">
      <c r="A200" s="310">
        <v>2050302</v>
      </c>
      <c r="B200" s="321" t="s">
        <v>215</v>
      </c>
      <c r="C200" s="322">
        <v>19939</v>
      </c>
      <c r="D200" s="323">
        <f>65+328</f>
        <v>393</v>
      </c>
      <c r="E200" s="322">
        <v>18344.06</v>
      </c>
      <c r="F200" s="324">
        <f t="shared" si="16"/>
        <v>18737.06</v>
      </c>
      <c r="G200" s="325">
        <f t="shared" si="18"/>
        <v>-0.0602808566126686</v>
      </c>
      <c r="H200" s="326" t="s">
        <v>970</v>
      </c>
      <c r="I200" s="316">
        <f t="shared" si="17"/>
        <v>7</v>
      </c>
    </row>
    <row r="201" s="291" customFormat="1" ht="33.75" customHeight="1" spans="1:9">
      <c r="A201" s="310">
        <v>2050399</v>
      </c>
      <c r="B201" s="321" t="s">
        <v>217</v>
      </c>
      <c r="C201" s="322">
        <v>2146</v>
      </c>
      <c r="D201" s="323"/>
      <c r="E201" s="322">
        <v>1196</v>
      </c>
      <c r="F201" s="324">
        <f t="shared" si="16"/>
        <v>1196</v>
      </c>
      <c r="G201" s="325">
        <f t="shared" si="18"/>
        <v>-0.442684063373719</v>
      </c>
      <c r="H201" s="326"/>
      <c r="I201" s="316">
        <f t="shared" si="17"/>
        <v>7</v>
      </c>
    </row>
    <row r="202" s="291" customFormat="1" ht="24.95" customHeight="1" spans="1:9">
      <c r="A202" s="310">
        <v>20504</v>
      </c>
      <c r="B202" s="317" t="s">
        <v>219</v>
      </c>
      <c r="C202" s="318">
        <f>C203</f>
        <v>1545</v>
      </c>
      <c r="D202" s="318"/>
      <c r="E202" s="318">
        <v>1488.85</v>
      </c>
      <c r="F202" s="319">
        <f t="shared" si="16"/>
        <v>1488.85</v>
      </c>
      <c r="G202" s="320">
        <f t="shared" si="18"/>
        <v>-0.0363430420711974</v>
      </c>
      <c r="H202" s="330"/>
      <c r="I202" s="316">
        <f t="shared" si="17"/>
        <v>5</v>
      </c>
    </row>
    <row r="203" s="291" customFormat="1" ht="45.75" customHeight="1" spans="1:9">
      <c r="A203" s="310">
        <v>2050404</v>
      </c>
      <c r="B203" s="321" t="s">
        <v>220</v>
      </c>
      <c r="C203" s="322">
        <v>1545</v>
      </c>
      <c r="D203" s="323"/>
      <c r="E203" s="322">
        <v>1488.85</v>
      </c>
      <c r="F203" s="324">
        <f t="shared" si="16"/>
        <v>1488.85</v>
      </c>
      <c r="G203" s="325">
        <f t="shared" si="18"/>
        <v>-0.0363430420711974</v>
      </c>
      <c r="H203" s="326" t="s">
        <v>971</v>
      </c>
      <c r="I203" s="316">
        <f t="shared" si="17"/>
        <v>7</v>
      </c>
    </row>
    <row r="204" s="291" customFormat="1" ht="24.95" customHeight="1" spans="1:9">
      <c r="A204" s="310">
        <v>20505</v>
      </c>
      <c r="B204" s="332" t="s">
        <v>221</v>
      </c>
      <c r="C204" s="318">
        <v>1</v>
      </c>
      <c r="D204" s="318"/>
      <c r="E204" s="318"/>
      <c r="F204" s="319">
        <f t="shared" si="16"/>
        <v>0</v>
      </c>
      <c r="G204" s="320">
        <f t="shared" si="18"/>
        <v>-1</v>
      </c>
      <c r="H204" s="330"/>
      <c r="I204" s="316">
        <f t="shared" si="17"/>
        <v>5</v>
      </c>
    </row>
    <row r="205" s="291" customFormat="1" ht="24.95" customHeight="1" spans="1:9">
      <c r="A205" s="310">
        <v>2050599</v>
      </c>
      <c r="B205" s="327" t="s">
        <v>222</v>
      </c>
      <c r="C205" s="322">
        <v>1</v>
      </c>
      <c r="D205" s="323"/>
      <c r="E205" s="322"/>
      <c r="F205" s="324">
        <f t="shared" si="16"/>
        <v>0</v>
      </c>
      <c r="G205" s="325">
        <f t="shared" si="18"/>
        <v>-1</v>
      </c>
      <c r="H205" s="326"/>
      <c r="I205" s="316">
        <f t="shared" si="17"/>
        <v>7</v>
      </c>
    </row>
    <row r="206" s="291" customFormat="1" ht="24.95" customHeight="1" spans="1:9">
      <c r="A206" s="310">
        <v>20507</v>
      </c>
      <c r="B206" s="317" t="s">
        <v>223</v>
      </c>
      <c r="C206" s="318">
        <f>SUM(C207:C208)</f>
        <v>467</v>
      </c>
      <c r="D206" s="318"/>
      <c r="E206" s="318">
        <f>E207</f>
        <v>987</v>
      </c>
      <c r="F206" s="319">
        <f t="shared" si="16"/>
        <v>987</v>
      </c>
      <c r="G206" s="320">
        <f t="shared" si="18"/>
        <v>1.1134903640257</v>
      </c>
      <c r="H206" s="330"/>
      <c r="I206" s="316">
        <f t="shared" si="17"/>
        <v>5</v>
      </c>
    </row>
    <row r="207" s="291" customFormat="1" ht="38.1" customHeight="1" spans="1:9">
      <c r="A207" s="310">
        <v>2050701</v>
      </c>
      <c r="B207" s="321" t="s">
        <v>224</v>
      </c>
      <c r="C207" s="322">
        <v>426</v>
      </c>
      <c r="D207" s="323"/>
      <c r="E207" s="322">
        <v>987</v>
      </c>
      <c r="F207" s="324">
        <f t="shared" si="16"/>
        <v>987</v>
      </c>
      <c r="G207" s="325">
        <f t="shared" si="18"/>
        <v>1.3169014084507</v>
      </c>
      <c r="H207" s="326"/>
      <c r="I207" s="316">
        <f t="shared" si="17"/>
        <v>7</v>
      </c>
    </row>
    <row r="208" s="291" customFormat="1" ht="53.1" customHeight="1" spans="1:9">
      <c r="A208" s="310">
        <v>2050799</v>
      </c>
      <c r="B208" s="321" t="s">
        <v>972</v>
      </c>
      <c r="C208" s="322">
        <v>41</v>
      </c>
      <c r="D208" s="323"/>
      <c r="E208" s="322"/>
      <c r="F208" s="324">
        <f t="shared" si="16"/>
        <v>0</v>
      </c>
      <c r="G208" s="325">
        <f t="shared" si="18"/>
        <v>-1</v>
      </c>
      <c r="H208" s="326"/>
      <c r="I208" s="316">
        <v>7</v>
      </c>
    </row>
    <row r="209" s="291" customFormat="1" ht="24.95" customHeight="1" spans="1:9">
      <c r="A209" s="310">
        <v>20508</v>
      </c>
      <c r="B209" s="317" t="s">
        <v>227</v>
      </c>
      <c r="C209" s="318">
        <f>SUM(C210:C212)</f>
        <v>3816</v>
      </c>
      <c r="D209" s="318"/>
      <c r="E209" s="318">
        <f>SUM(E210:E212)</f>
        <v>3597.66</v>
      </c>
      <c r="F209" s="319">
        <f t="shared" si="16"/>
        <v>3597.66</v>
      </c>
      <c r="G209" s="320">
        <f t="shared" si="18"/>
        <v>-0.0572169811320755</v>
      </c>
      <c r="H209" s="330"/>
      <c r="I209" s="316">
        <f t="shared" ref="I209:I221" si="19">LEN(A209)</f>
        <v>5</v>
      </c>
    </row>
    <row r="210" s="291" customFormat="1" ht="24.95" customHeight="1" spans="1:9">
      <c r="A210" s="310">
        <v>2050801</v>
      </c>
      <c r="B210" s="321" t="s">
        <v>228</v>
      </c>
      <c r="C210" s="322">
        <v>1534</v>
      </c>
      <c r="D210" s="323"/>
      <c r="E210" s="322">
        <v>1279.23</v>
      </c>
      <c r="F210" s="324">
        <f t="shared" si="16"/>
        <v>1279.23</v>
      </c>
      <c r="G210" s="325">
        <f t="shared" si="18"/>
        <v>-0.166082138200782</v>
      </c>
      <c r="H210" s="326" t="s">
        <v>973</v>
      </c>
      <c r="I210" s="316">
        <f t="shared" si="19"/>
        <v>7</v>
      </c>
    </row>
    <row r="211" s="291" customFormat="1" ht="24.95" customHeight="1" spans="1:9">
      <c r="A211" s="310">
        <v>2050802</v>
      </c>
      <c r="B211" s="321" t="s">
        <v>229</v>
      </c>
      <c r="C211" s="322">
        <v>1454</v>
      </c>
      <c r="D211" s="323"/>
      <c r="E211" s="322">
        <v>1441.77</v>
      </c>
      <c r="F211" s="324">
        <f t="shared" si="16"/>
        <v>1441.77</v>
      </c>
      <c r="G211" s="325">
        <f t="shared" si="18"/>
        <v>-0.00841127922971119</v>
      </c>
      <c r="H211" s="326" t="s">
        <v>974</v>
      </c>
      <c r="I211" s="316">
        <f t="shared" si="19"/>
        <v>7</v>
      </c>
    </row>
    <row r="212" s="291" customFormat="1" ht="24.95" customHeight="1" spans="1:9">
      <c r="A212" s="310">
        <v>2050803</v>
      </c>
      <c r="B212" s="321" t="s">
        <v>230</v>
      </c>
      <c r="C212" s="322">
        <v>828</v>
      </c>
      <c r="D212" s="323"/>
      <c r="E212" s="322">
        <v>876.66</v>
      </c>
      <c r="F212" s="324">
        <f t="shared" si="16"/>
        <v>876.66</v>
      </c>
      <c r="G212" s="325">
        <f t="shared" si="18"/>
        <v>0.058768115942029</v>
      </c>
      <c r="H212" s="326"/>
      <c r="I212" s="316">
        <f t="shared" si="19"/>
        <v>7</v>
      </c>
    </row>
    <row r="213" s="291" customFormat="1" ht="42" customHeight="1" spans="1:9">
      <c r="A213" s="310">
        <v>20509</v>
      </c>
      <c r="B213" s="317" t="s">
        <v>232</v>
      </c>
      <c r="C213" s="318">
        <f>C214</f>
        <v>82848</v>
      </c>
      <c r="D213" s="318">
        <f>D214</f>
        <v>96</v>
      </c>
      <c r="E213" s="318">
        <f t="shared" ref="E213:E218" si="20">E214</f>
        <v>84364</v>
      </c>
      <c r="F213" s="319">
        <f t="shared" si="16"/>
        <v>84460</v>
      </c>
      <c r="G213" s="320">
        <f t="shared" si="18"/>
        <v>0.0194573194283507</v>
      </c>
      <c r="H213" s="330"/>
      <c r="I213" s="316">
        <f t="shared" si="19"/>
        <v>5</v>
      </c>
    </row>
    <row r="214" s="291" customFormat="1" ht="79.5" customHeight="1" spans="1:9">
      <c r="A214" s="310">
        <v>2050999</v>
      </c>
      <c r="B214" s="321" t="s">
        <v>233</v>
      </c>
      <c r="C214" s="322">
        <v>82848</v>
      </c>
      <c r="D214" s="323">
        <v>96</v>
      </c>
      <c r="E214" s="322">
        <v>84364</v>
      </c>
      <c r="F214" s="324">
        <f t="shared" si="16"/>
        <v>84460</v>
      </c>
      <c r="G214" s="325">
        <f t="shared" si="18"/>
        <v>0.0194573194283507</v>
      </c>
      <c r="H214" s="326" t="s">
        <v>975</v>
      </c>
      <c r="I214" s="316">
        <f t="shared" si="19"/>
        <v>7</v>
      </c>
    </row>
    <row r="215" s="291" customFormat="1" ht="24.95" customHeight="1" spans="1:9">
      <c r="A215" s="310">
        <v>20599</v>
      </c>
      <c r="B215" s="317" t="s">
        <v>235</v>
      </c>
      <c r="C215" s="318">
        <f>C216</f>
        <v>112353</v>
      </c>
      <c r="D215" s="318"/>
      <c r="E215" s="318">
        <f t="shared" si="20"/>
        <v>149661.16</v>
      </c>
      <c r="F215" s="319">
        <f t="shared" si="16"/>
        <v>149661.16</v>
      </c>
      <c r="G215" s="320">
        <f t="shared" si="18"/>
        <v>0.332061983213621</v>
      </c>
      <c r="H215" s="330"/>
      <c r="I215" s="316">
        <f t="shared" si="19"/>
        <v>5</v>
      </c>
    </row>
    <row r="216" s="291" customFormat="1" ht="147.95" customHeight="1" spans="1:9">
      <c r="A216" s="310">
        <v>2059999</v>
      </c>
      <c r="B216" s="321" t="s">
        <v>236</v>
      </c>
      <c r="C216" s="322">
        <v>112353</v>
      </c>
      <c r="D216" s="323"/>
      <c r="E216" s="322">
        <v>149661.16</v>
      </c>
      <c r="F216" s="324">
        <f t="shared" si="16"/>
        <v>149661.16</v>
      </c>
      <c r="G216" s="325">
        <f t="shared" si="18"/>
        <v>0.332061983213621</v>
      </c>
      <c r="H216" s="326" t="s">
        <v>976</v>
      </c>
      <c r="I216" s="316">
        <f t="shared" si="19"/>
        <v>7</v>
      </c>
    </row>
    <row r="217" s="291" customFormat="1" ht="24.95" customHeight="1" spans="1:9">
      <c r="A217" s="310">
        <v>206</v>
      </c>
      <c r="B217" s="311" t="s">
        <v>238</v>
      </c>
      <c r="C217" s="312">
        <f>C218+C222+C224+C227+C230+C233+C235</f>
        <v>116952</v>
      </c>
      <c r="D217" s="313">
        <v>5263</v>
      </c>
      <c r="E217" s="313">
        <f>E218+E224+E227+E230+E233+E235</f>
        <v>110581.7</v>
      </c>
      <c r="F217" s="314">
        <f t="shared" si="16"/>
        <v>115844.7</v>
      </c>
      <c r="G217" s="315">
        <f t="shared" si="18"/>
        <v>-0.00946798686640671</v>
      </c>
      <c r="H217" s="312"/>
      <c r="I217" s="316">
        <f t="shared" si="19"/>
        <v>3</v>
      </c>
    </row>
    <row r="218" s="291" customFormat="1" ht="24.95" customHeight="1" spans="1:9">
      <c r="A218" s="310">
        <v>20601</v>
      </c>
      <c r="B218" s="317" t="s">
        <v>239</v>
      </c>
      <c r="C218" s="318">
        <f>SUM(C219:C221)</f>
        <v>1394</v>
      </c>
      <c r="D218" s="318"/>
      <c r="E218" s="318">
        <f t="shared" si="20"/>
        <v>1208.1</v>
      </c>
      <c r="F218" s="319">
        <f t="shared" si="16"/>
        <v>1208.1</v>
      </c>
      <c r="G218" s="320">
        <f t="shared" si="18"/>
        <v>-0.133357245337159</v>
      </c>
      <c r="H218" s="330"/>
      <c r="I218" s="316">
        <f t="shared" si="19"/>
        <v>5</v>
      </c>
    </row>
    <row r="219" s="291" customFormat="1" ht="24.95" customHeight="1" spans="1:9">
      <c r="A219" s="310">
        <v>2060101</v>
      </c>
      <c r="B219" s="321" t="s">
        <v>49</v>
      </c>
      <c r="C219" s="322">
        <v>1394</v>
      </c>
      <c r="D219" s="323"/>
      <c r="E219" s="322">
        <v>1208.1</v>
      </c>
      <c r="F219" s="324">
        <f t="shared" si="16"/>
        <v>1208.1</v>
      </c>
      <c r="G219" s="325">
        <f t="shared" si="18"/>
        <v>-0.133357245337159</v>
      </c>
      <c r="H219" s="326"/>
      <c r="I219" s="316">
        <f t="shared" si="19"/>
        <v>7</v>
      </c>
    </row>
    <row r="220" s="291" customFormat="1" ht="24.95" customHeight="1" spans="1:9">
      <c r="A220" s="310">
        <v>2060102</v>
      </c>
      <c r="B220" s="327" t="s">
        <v>50</v>
      </c>
      <c r="C220" s="322"/>
      <c r="D220" s="323"/>
      <c r="E220" s="322"/>
      <c r="F220" s="324"/>
      <c r="G220" s="328"/>
      <c r="H220" s="326"/>
      <c r="I220" s="316">
        <f t="shared" si="19"/>
        <v>7</v>
      </c>
    </row>
    <row r="221" s="291" customFormat="1" ht="24.95" customHeight="1" spans="1:9">
      <c r="A221" s="310">
        <v>2060199</v>
      </c>
      <c r="B221" s="327" t="s">
        <v>240</v>
      </c>
      <c r="C221" s="322"/>
      <c r="D221" s="323"/>
      <c r="E221" s="322"/>
      <c r="F221" s="324"/>
      <c r="G221" s="328"/>
      <c r="H221" s="326"/>
      <c r="I221" s="316">
        <f t="shared" si="19"/>
        <v>7</v>
      </c>
    </row>
    <row r="222" s="291" customFormat="1" ht="24.95" customHeight="1" spans="1:9">
      <c r="A222" s="310">
        <v>20602</v>
      </c>
      <c r="B222" s="332" t="s">
        <v>241</v>
      </c>
      <c r="C222" s="318">
        <f>C223</f>
        <v>278</v>
      </c>
      <c r="D222" s="318"/>
      <c r="E222" s="318"/>
      <c r="F222" s="319">
        <f t="shared" si="16"/>
        <v>0</v>
      </c>
      <c r="G222" s="320">
        <f t="shared" si="18"/>
        <v>-1</v>
      </c>
      <c r="H222" s="330"/>
      <c r="I222" s="316">
        <v>7</v>
      </c>
    </row>
    <row r="223" s="291" customFormat="1" ht="24.95" customHeight="1" spans="1:9">
      <c r="A223" s="310">
        <v>2060203</v>
      </c>
      <c r="B223" s="327" t="s">
        <v>242</v>
      </c>
      <c r="C223" s="322">
        <v>278</v>
      </c>
      <c r="D223" s="323"/>
      <c r="E223" s="322"/>
      <c r="F223" s="324">
        <f t="shared" si="16"/>
        <v>0</v>
      </c>
      <c r="G223" s="325">
        <f t="shared" si="18"/>
        <v>-1</v>
      </c>
      <c r="H223" s="326"/>
      <c r="I223" s="316">
        <v>7</v>
      </c>
    </row>
    <row r="224" s="291" customFormat="1" ht="24.95" customHeight="1" spans="1:9">
      <c r="A224" s="310">
        <v>20604</v>
      </c>
      <c r="B224" s="317" t="s">
        <v>977</v>
      </c>
      <c r="C224" s="318">
        <f>SUM(C225:C226)</f>
        <v>3102</v>
      </c>
      <c r="D224" s="318"/>
      <c r="E224" s="318"/>
      <c r="F224" s="319">
        <f t="shared" si="16"/>
        <v>0</v>
      </c>
      <c r="G224" s="320">
        <f t="shared" si="18"/>
        <v>-1</v>
      </c>
      <c r="H224" s="330"/>
      <c r="I224" s="316">
        <f t="shared" ref="I224:I262" si="21">LEN(A224)</f>
        <v>5</v>
      </c>
    </row>
    <row r="225" s="291" customFormat="1" ht="24.95" customHeight="1" spans="1:9">
      <c r="A225" s="310">
        <v>2060403</v>
      </c>
      <c r="B225" s="327" t="s">
        <v>244</v>
      </c>
      <c r="C225" s="322">
        <v>3007</v>
      </c>
      <c r="D225" s="323"/>
      <c r="E225" s="322"/>
      <c r="F225" s="324">
        <f t="shared" si="16"/>
        <v>0</v>
      </c>
      <c r="G225" s="325">
        <f t="shared" si="18"/>
        <v>-1</v>
      </c>
      <c r="H225" s="326"/>
      <c r="I225" s="316">
        <f t="shared" si="21"/>
        <v>7</v>
      </c>
    </row>
    <row r="226" s="291" customFormat="1" ht="24.95" customHeight="1" spans="1:9">
      <c r="A226" s="310">
        <v>2060499</v>
      </c>
      <c r="B226" s="321" t="s">
        <v>246</v>
      </c>
      <c r="C226" s="322">
        <v>95</v>
      </c>
      <c r="D226" s="323"/>
      <c r="E226" s="322"/>
      <c r="F226" s="324">
        <f t="shared" si="16"/>
        <v>0</v>
      </c>
      <c r="G226" s="325">
        <f t="shared" si="18"/>
        <v>-1</v>
      </c>
      <c r="H226" s="326"/>
      <c r="I226" s="316">
        <f t="shared" si="21"/>
        <v>7</v>
      </c>
    </row>
    <row r="227" s="291" customFormat="1" ht="24.95" customHeight="1" spans="1:9">
      <c r="A227" s="310">
        <v>20605</v>
      </c>
      <c r="B227" s="317" t="s">
        <v>247</v>
      </c>
      <c r="C227" s="318">
        <f>SUM(C228:C229)</f>
        <v>725</v>
      </c>
      <c r="D227" s="318"/>
      <c r="E227" s="318">
        <f>SUM(E228:E229)</f>
        <v>615.22</v>
      </c>
      <c r="F227" s="319">
        <f t="shared" si="16"/>
        <v>615.22</v>
      </c>
      <c r="G227" s="320">
        <f t="shared" si="18"/>
        <v>-0.151420689655172</v>
      </c>
      <c r="H227" s="330"/>
      <c r="I227" s="316">
        <f t="shared" si="21"/>
        <v>5</v>
      </c>
    </row>
    <row r="228" s="291" customFormat="1" ht="34.5" customHeight="1" spans="1:9">
      <c r="A228" s="310">
        <v>2060501</v>
      </c>
      <c r="B228" s="321" t="s">
        <v>248</v>
      </c>
      <c r="C228" s="322">
        <v>690</v>
      </c>
      <c r="D228" s="323"/>
      <c r="E228" s="322">
        <v>465.28</v>
      </c>
      <c r="F228" s="324">
        <f t="shared" si="16"/>
        <v>465.28</v>
      </c>
      <c r="G228" s="325">
        <f t="shared" si="18"/>
        <v>-0.32568115942029</v>
      </c>
      <c r="H228" s="326" t="s">
        <v>931</v>
      </c>
      <c r="I228" s="316">
        <f t="shared" si="21"/>
        <v>7</v>
      </c>
    </row>
    <row r="229" s="291" customFormat="1" ht="47.1" customHeight="1" spans="1:9">
      <c r="A229" s="310">
        <v>2060599</v>
      </c>
      <c r="B229" s="321" t="s">
        <v>249</v>
      </c>
      <c r="C229" s="322">
        <v>35</v>
      </c>
      <c r="D229" s="323"/>
      <c r="E229" s="322">
        <v>149.94</v>
      </c>
      <c r="F229" s="324">
        <f t="shared" si="16"/>
        <v>149.94</v>
      </c>
      <c r="G229" s="325">
        <f t="shared" si="18"/>
        <v>3.284</v>
      </c>
      <c r="H229" s="326" t="s">
        <v>978</v>
      </c>
      <c r="I229" s="316">
        <f t="shared" si="21"/>
        <v>7</v>
      </c>
    </row>
    <row r="230" s="291" customFormat="1" ht="24.95" customHeight="1" spans="1:9">
      <c r="A230" s="310">
        <v>20607</v>
      </c>
      <c r="B230" s="317" t="s">
        <v>250</v>
      </c>
      <c r="C230" s="318">
        <f>SUM(C231:C232)</f>
        <v>676</v>
      </c>
      <c r="D230" s="318"/>
      <c r="E230" s="318">
        <f>SUM(E231:E232)</f>
        <v>695.38</v>
      </c>
      <c r="F230" s="319">
        <f t="shared" si="16"/>
        <v>695.38</v>
      </c>
      <c r="G230" s="320">
        <f t="shared" si="18"/>
        <v>0.0286686390532545</v>
      </c>
      <c r="H230" s="330"/>
      <c r="I230" s="316">
        <f t="shared" si="21"/>
        <v>5</v>
      </c>
    </row>
    <row r="231" s="291" customFormat="1" ht="29.25" customHeight="1" spans="1:9">
      <c r="A231" s="310">
        <v>2060702</v>
      </c>
      <c r="B231" s="321" t="s">
        <v>251</v>
      </c>
      <c r="C231" s="322">
        <v>676</v>
      </c>
      <c r="D231" s="323"/>
      <c r="E231" s="322">
        <v>695.38</v>
      </c>
      <c r="F231" s="324">
        <f t="shared" ref="F231:F264" si="22">D231+E231</f>
        <v>695.38</v>
      </c>
      <c r="G231" s="325">
        <f t="shared" si="18"/>
        <v>0.0286686390532545</v>
      </c>
      <c r="H231" s="326"/>
      <c r="I231" s="316">
        <f t="shared" si="21"/>
        <v>7</v>
      </c>
    </row>
    <row r="232" s="291" customFormat="1" ht="24.95" customHeight="1" spans="1:9">
      <c r="A232" s="310">
        <v>2060799</v>
      </c>
      <c r="B232" s="321" t="s">
        <v>252</v>
      </c>
      <c r="C232" s="322"/>
      <c r="D232" s="323"/>
      <c r="E232" s="322"/>
      <c r="F232" s="324">
        <f t="shared" si="22"/>
        <v>0</v>
      </c>
      <c r="G232" s="328" t="s">
        <v>20</v>
      </c>
      <c r="H232" s="326"/>
      <c r="I232" s="316">
        <f t="shared" si="21"/>
        <v>7</v>
      </c>
    </row>
    <row r="233" s="291" customFormat="1" ht="24.95" customHeight="1" spans="1:9">
      <c r="A233" s="310">
        <v>20608</v>
      </c>
      <c r="B233" s="317" t="s">
        <v>253</v>
      </c>
      <c r="C233" s="318">
        <f>C234</f>
        <v>254</v>
      </c>
      <c r="D233" s="318"/>
      <c r="E233" s="318">
        <f>E234</f>
        <v>410</v>
      </c>
      <c r="F233" s="319">
        <f t="shared" si="22"/>
        <v>410</v>
      </c>
      <c r="G233" s="320">
        <f t="shared" si="18"/>
        <v>0.614173228346457</v>
      </c>
      <c r="H233" s="330"/>
      <c r="I233" s="316">
        <f t="shared" si="21"/>
        <v>5</v>
      </c>
    </row>
    <row r="234" s="291" customFormat="1" ht="30.75" customHeight="1" spans="1:9">
      <c r="A234" s="310">
        <v>2060899</v>
      </c>
      <c r="B234" s="321" t="s">
        <v>254</v>
      </c>
      <c r="C234" s="322">
        <v>254</v>
      </c>
      <c r="D234" s="323"/>
      <c r="E234" s="322">
        <v>410</v>
      </c>
      <c r="F234" s="324">
        <f t="shared" si="22"/>
        <v>410</v>
      </c>
      <c r="G234" s="325">
        <f t="shared" si="18"/>
        <v>0.614173228346457</v>
      </c>
      <c r="H234" s="338" t="s">
        <v>979</v>
      </c>
      <c r="I234" s="316">
        <f t="shared" si="21"/>
        <v>7</v>
      </c>
    </row>
    <row r="235" s="291" customFormat="1" ht="24.95" customHeight="1" spans="1:9">
      <c r="A235" s="310">
        <v>20699</v>
      </c>
      <c r="B235" s="317" t="s">
        <v>256</v>
      </c>
      <c r="C235" s="318">
        <f>C236</f>
        <v>110523</v>
      </c>
      <c r="D235" s="318">
        <v>5263</v>
      </c>
      <c r="E235" s="318">
        <f>E236</f>
        <v>107653</v>
      </c>
      <c r="F235" s="319">
        <f t="shared" si="22"/>
        <v>112916</v>
      </c>
      <c r="G235" s="320">
        <f t="shared" si="18"/>
        <v>0.0216516019290103</v>
      </c>
      <c r="H235" s="330"/>
      <c r="I235" s="316">
        <f t="shared" si="21"/>
        <v>5</v>
      </c>
    </row>
    <row r="236" s="291" customFormat="1" ht="24.95" customHeight="1" spans="1:9">
      <c r="A236" s="310">
        <v>2069999</v>
      </c>
      <c r="B236" s="321" t="s">
        <v>257</v>
      </c>
      <c r="C236" s="322">
        <v>110523</v>
      </c>
      <c r="D236" s="323">
        <v>5263</v>
      </c>
      <c r="E236" s="322">
        <v>107653</v>
      </c>
      <c r="F236" s="324">
        <f t="shared" si="22"/>
        <v>112916</v>
      </c>
      <c r="G236" s="325">
        <f t="shared" si="18"/>
        <v>0.0216516019290103</v>
      </c>
      <c r="H236" s="326"/>
      <c r="I236" s="316">
        <f t="shared" si="21"/>
        <v>7</v>
      </c>
    </row>
    <row r="237" s="291" customFormat="1" ht="45.95" customHeight="1" spans="1:9">
      <c r="A237" s="310">
        <v>207</v>
      </c>
      <c r="B237" s="311" t="s">
        <v>259</v>
      </c>
      <c r="C237" s="312">
        <f>C238+C251+C255+C261+C264+C266</f>
        <v>64589</v>
      </c>
      <c r="D237" s="313">
        <f>D238</f>
        <v>46</v>
      </c>
      <c r="E237" s="313">
        <f>E238+E251+E255+E261+E264+E266</f>
        <v>43197.88</v>
      </c>
      <c r="F237" s="314">
        <f t="shared" si="22"/>
        <v>43243.88</v>
      </c>
      <c r="G237" s="315">
        <f t="shared" si="18"/>
        <v>-0.33047608725944</v>
      </c>
      <c r="H237" s="312"/>
      <c r="I237" s="316">
        <f t="shared" si="21"/>
        <v>3</v>
      </c>
    </row>
    <row r="238" s="291" customFormat="1" ht="24.95" customHeight="1" spans="1:9">
      <c r="A238" s="310">
        <v>20701</v>
      </c>
      <c r="B238" s="317" t="s">
        <v>260</v>
      </c>
      <c r="C238" s="318">
        <f>SUM(C239:C250)</f>
        <v>34070</v>
      </c>
      <c r="D238" s="318">
        <f>D244</f>
        <v>46</v>
      </c>
      <c r="E238" s="318">
        <f>SUM(E239:E250)</f>
        <v>19882.5</v>
      </c>
      <c r="F238" s="319">
        <f t="shared" si="22"/>
        <v>19928.5</v>
      </c>
      <c r="G238" s="320">
        <f t="shared" si="18"/>
        <v>-0.41507191077194</v>
      </c>
      <c r="H238" s="330"/>
      <c r="I238" s="316">
        <f t="shared" si="21"/>
        <v>5</v>
      </c>
    </row>
    <row r="239" s="291" customFormat="1" ht="24.95" customHeight="1" spans="1:9">
      <c r="A239" s="310">
        <v>2070101</v>
      </c>
      <c r="B239" s="321" t="s">
        <v>49</v>
      </c>
      <c r="C239" s="322">
        <v>3876</v>
      </c>
      <c r="D239" s="323"/>
      <c r="E239" s="322">
        <v>3564.22</v>
      </c>
      <c r="F239" s="324">
        <f t="shared" si="22"/>
        <v>3564.22</v>
      </c>
      <c r="G239" s="325">
        <f t="shared" si="18"/>
        <v>-0.0804385964912281</v>
      </c>
      <c r="H239" s="326"/>
      <c r="I239" s="316">
        <f t="shared" si="21"/>
        <v>7</v>
      </c>
    </row>
    <row r="240" s="291" customFormat="1" ht="24.95" customHeight="1" spans="1:9">
      <c r="A240" s="310">
        <v>2070102</v>
      </c>
      <c r="B240" s="321" t="s">
        <v>50</v>
      </c>
      <c r="C240" s="322">
        <v>402</v>
      </c>
      <c r="D240" s="323"/>
      <c r="E240" s="322">
        <v>263.62</v>
      </c>
      <c r="F240" s="324">
        <f t="shared" si="22"/>
        <v>263.62</v>
      </c>
      <c r="G240" s="325">
        <f t="shared" si="18"/>
        <v>-0.344228855721393</v>
      </c>
      <c r="H240" s="326" t="s">
        <v>931</v>
      </c>
      <c r="I240" s="316">
        <f t="shared" si="21"/>
        <v>7</v>
      </c>
    </row>
    <row r="241" s="291" customFormat="1" ht="75.95" customHeight="1" spans="1:9">
      <c r="A241" s="310">
        <v>2070104</v>
      </c>
      <c r="B241" s="321" t="s">
        <v>261</v>
      </c>
      <c r="C241" s="322">
        <v>4461</v>
      </c>
      <c r="D241" s="323"/>
      <c r="E241" s="322">
        <v>4282.33</v>
      </c>
      <c r="F241" s="324">
        <f t="shared" si="22"/>
        <v>4282.33</v>
      </c>
      <c r="G241" s="325">
        <f t="shared" si="18"/>
        <v>-0.0400515579466487</v>
      </c>
      <c r="H241" s="326" t="s">
        <v>980</v>
      </c>
      <c r="I241" s="316">
        <f t="shared" si="21"/>
        <v>7</v>
      </c>
    </row>
    <row r="242" s="291" customFormat="1" ht="24.95" customHeight="1" spans="1:9">
      <c r="A242" s="310">
        <v>2070105</v>
      </c>
      <c r="B242" s="321" t="s">
        <v>262</v>
      </c>
      <c r="C242" s="322">
        <v>46</v>
      </c>
      <c r="D242" s="323"/>
      <c r="E242" s="322">
        <v>47.94</v>
      </c>
      <c r="F242" s="324">
        <f t="shared" si="22"/>
        <v>47.94</v>
      </c>
      <c r="G242" s="325">
        <f t="shared" si="18"/>
        <v>0.0421739130434782</v>
      </c>
      <c r="H242" s="326"/>
      <c r="I242" s="316">
        <f t="shared" si="21"/>
        <v>7</v>
      </c>
    </row>
    <row r="243" s="291" customFormat="1" ht="24.95" customHeight="1" spans="1:9">
      <c r="A243" s="310">
        <v>2070107</v>
      </c>
      <c r="B243" s="321" t="s">
        <v>263</v>
      </c>
      <c r="C243" s="322">
        <v>100</v>
      </c>
      <c r="D243" s="323"/>
      <c r="E243" s="322">
        <v>100</v>
      </c>
      <c r="F243" s="324">
        <f t="shared" si="22"/>
        <v>100</v>
      </c>
      <c r="G243" s="325">
        <f t="shared" si="18"/>
        <v>0</v>
      </c>
      <c r="H243" s="326"/>
      <c r="I243" s="316">
        <f t="shared" si="21"/>
        <v>7</v>
      </c>
    </row>
    <row r="244" s="291" customFormat="1" ht="210" customHeight="1" spans="1:9">
      <c r="A244" s="310">
        <v>2070108</v>
      </c>
      <c r="B244" s="321" t="s">
        <v>264</v>
      </c>
      <c r="C244" s="322">
        <v>1987</v>
      </c>
      <c r="D244" s="323">
        <v>46</v>
      </c>
      <c r="E244" s="322">
        <v>1054.8</v>
      </c>
      <c r="F244" s="324">
        <f t="shared" si="22"/>
        <v>1100.8</v>
      </c>
      <c r="G244" s="325">
        <f t="shared" si="18"/>
        <v>-0.445998993457474</v>
      </c>
      <c r="H244" s="326" t="s">
        <v>981</v>
      </c>
      <c r="I244" s="316">
        <f t="shared" si="21"/>
        <v>7</v>
      </c>
    </row>
    <row r="245" s="291" customFormat="1" ht="65.1" customHeight="1" spans="1:9">
      <c r="A245" s="310">
        <v>2070109</v>
      </c>
      <c r="B245" s="321" t="s">
        <v>265</v>
      </c>
      <c r="C245" s="322">
        <v>1743</v>
      </c>
      <c r="D245" s="323"/>
      <c r="E245" s="322">
        <v>1424.65</v>
      </c>
      <c r="F245" s="324">
        <f t="shared" si="22"/>
        <v>1424.65</v>
      </c>
      <c r="G245" s="325">
        <f t="shared" si="18"/>
        <v>-0.182644865174986</v>
      </c>
      <c r="H245" s="326" t="s">
        <v>982</v>
      </c>
      <c r="I245" s="316">
        <f t="shared" si="21"/>
        <v>7</v>
      </c>
    </row>
    <row r="246" s="291" customFormat="1" ht="56.25" customHeight="1" spans="1:9">
      <c r="A246" s="310">
        <v>2070110</v>
      </c>
      <c r="B246" s="321" t="s">
        <v>266</v>
      </c>
      <c r="C246" s="322">
        <v>695</v>
      </c>
      <c r="D246" s="323"/>
      <c r="E246" s="322">
        <v>500</v>
      </c>
      <c r="F246" s="324">
        <f t="shared" si="22"/>
        <v>500</v>
      </c>
      <c r="G246" s="325">
        <f t="shared" si="18"/>
        <v>-0.280575539568345</v>
      </c>
      <c r="H246" s="326" t="s">
        <v>983</v>
      </c>
      <c r="I246" s="316">
        <f t="shared" si="21"/>
        <v>7</v>
      </c>
    </row>
    <row r="247" s="291" customFormat="1" ht="24.95" customHeight="1" spans="1:9">
      <c r="A247" s="310">
        <v>2070111</v>
      </c>
      <c r="B247" s="321" t="s">
        <v>268</v>
      </c>
      <c r="C247" s="322">
        <v>85</v>
      </c>
      <c r="D247" s="323"/>
      <c r="E247" s="322">
        <v>56.5</v>
      </c>
      <c r="F247" s="324">
        <f t="shared" si="22"/>
        <v>56.5</v>
      </c>
      <c r="G247" s="325">
        <f t="shared" si="18"/>
        <v>-0.335294117647059</v>
      </c>
      <c r="H247" s="326" t="s">
        <v>931</v>
      </c>
      <c r="I247" s="316">
        <f t="shared" si="21"/>
        <v>7</v>
      </c>
    </row>
    <row r="248" s="291" customFormat="1" ht="24.95" customHeight="1" spans="1:9">
      <c r="A248" s="310">
        <v>2070112</v>
      </c>
      <c r="B248" s="321" t="s">
        <v>269</v>
      </c>
      <c r="C248" s="322">
        <v>420</v>
      </c>
      <c r="D248" s="323"/>
      <c r="E248" s="322">
        <v>344</v>
      </c>
      <c r="F248" s="324">
        <f t="shared" si="22"/>
        <v>344</v>
      </c>
      <c r="G248" s="325">
        <f t="shared" si="18"/>
        <v>-0.180952380952381</v>
      </c>
      <c r="H248" s="326"/>
      <c r="I248" s="316">
        <f t="shared" si="21"/>
        <v>7</v>
      </c>
    </row>
    <row r="249" s="291" customFormat="1" ht="45" customHeight="1" spans="1:9">
      <c r="A249" s="310">
        <v>2070114</v>
      </c>
      <c r="B249" s="321" t="s">
        <v>270</v>
      </c>
      <c r="C249" s="322">
        <v>412</v>
      </c>
      <c r="D249" s="323"/>
      <c r="E249" s="322">
        <v>125</v>
      </c>
      <c r="F249" s="324">
        <f t="shared" si="22"/>
        <v>125</v>
      </c>
      <c r="G249" s="325">
        <f t="shared" si="18"/>
        <v>-0.696601941747573</v>
      </c>
      <c r="H249" s="326" t="s">
        <v>984</v>
      </c>
      <c r="I249" s="316">
        <f t="shared" si="21"/>
        <v>7</v>
      </c>
    </row>
    <row r="250" s="291" customFormat="1" ht="24.95" customHeight="1" spans="1:9">
      <c r="A250" s="310">
        <v>2070199</v>
      </c>
      <c r="B250" s="321" t="s">
        <v>271</v>
      </c>
      <c r="C250" s="322">
        <v>19843</v>
      </c>
      <c r="D250" s="323"/>
      <c r="E250" s="322">
        <v>8119.44</v>
      </c>
      <c r="F250" s="324">
        <f t="shared" si="22"/>
        <v>8119.44</v>
      </c>
      <c r="G250" s="325">
        <f t="shared" si="18"/>
        <v>-0.590815904853097</v>
      </c>
      <c r="H250" s="326"/>
      <c r="I250" s="316">
        <f t="shared" si="21"/>
        <v>7</v>
      </c>
    </row>
    <row r="251" s="291" customFormat="1" ht="24.95" customHeight="1" spans="1:9">
      <c r="A251" s="310">
        <v>20702</v>
      </c>
      <c r="B251" s="317" t="s">
        <v>273</v>
      </c>
      <c r="C251" s="318">
        <f>SUM(C252:C254)</f>
        <v>1132</v>
      </c>
      <c r="D251" s="318"/>
      <c r="E251" s="318">
        <f>SUM(E252:E254)</f>
        <v>615.16</v>
      </c>
      <c r="F251" s="319">
        <f t="shared" si="22"/>
        <v>615.16</v>
      </c>
      <c r="G251" s="320">
        <f t="shared" si="18"/>
        <v>-0.456572438162544</v>
      </c>
      <c r="H251" s="330"/>
      <c r="I251" s="316">
        <f t="shared" si="21"/>
        <v>5</v>
      </c>
    </row>
    <row r="252" s="291" customFormat="1" ht="24.95" customHeight="1" spans="1:9">
      <c r="A252" s="310">
        <v>2070202</v>
      </c>
      <c r="B252" s="327" t="s">
        <v>50</v>
      </c>
      <c r="C252" s="322"/>
      <c r="D252" s="323"/>
      <c r="E252" s="322"/>
      <c r="F252" s="324">
        <f t="shared" si="22"/>
        <v>0</v>
      </c>
      <c r="G252" s="328" t="s">
        <v>20</v>
      </c>
      <c r="H252" s="326"/>
      <c r="I252" s="316">
        <f t="shared" si="21"/>
        <v>7</v>
      </c>
    </row>
    <row r="253" s="291" customFormat="1" ht="63" customHeight="1" spans="1:9">
      <c r="A253" s="310">
        <v>2070204</v>
      </c>
      <c r="B253" s="321" t="s">
        <v>274</v>
      </c>
      <c r="C253" s="322">
        <v>561</v>
      </c>
      <c r="D253" s="323"/>
      <c r="E253" s="322">
        <v>610.66</v>
      </c>
      <c r="F253" s="324">
        <f t="shared" si="22"/>
        <v>610.66</v>
      </c>
      <c r="G253" s="325">
        <f t="shared" si="18"/>
        <v>0.0885204991087343</v>
      </c>
      <c r="H253" s="326" t="s">
        <v>985</v>
      </c>
      <c r="I253" s="316">
        <f t="shared" si="21"/>
        <v>7</v>
      </c>
    </row>
    <row r="254" s="291" customFormat="1" ht="24.95" customHeight="1" spans="1:9">
      <c r="A254" s="310">
        <v>2070299</v>
      </c>
      <c r="B254" s="321" t="s">
        <v>276</v>
      </c>
      <c r="C254" s="322">
        <v>571</v>
      </c>
      <c r="D254" s="323"/>
      <c r="E254" s="322">
        <v>4.5</v>
      </c>
      <c r="F254" s="324">
        <f t="shared" si="22"/>
        <v>4.5</v>
      </c>
      <c r="G254" s="325">
        <f t="shared" si="18"/>
        <v>-0.992119089316988</v>
      </c>
      <c r="H254" s="326"/>
      <c r="I254" s="316">
        <f t="shared" si="21"/>
        <v>7</v>
      </c>
    </row>
    <row r="255" s="291" customFormat="1" ht="24.95" customHeight="1" spans="1:9">
      <c r="A255" s="310">
        <v>20703</v>
      </c>
      <c r="B255" s="317" t="s">
        <v>277</v>
      </c>
      <c r="C255" s="318">
        <f>SUM(C256:C260)</f>
        <v>11165</v>
      </c>
      <c r="D255" s="318"/>
      <c r="E255" s="318">
        <f>SUM(E256:E260)</f>
        <v>12438.31</v>
      </c>
      <c r="F255" s="319">
        <f t="shared" si="22"/>
        <v>12438.31</v>
      </c>
      <c r="G255" s="320">
        <f t="shared" si="18"/>
        <v>0.114044782803404</v>
      </c>
      <c r="H255" s="330"/>
      <c r="I255" s="316">
        <f t="shared" si="21"/>
        <v>5</v>
      </c>
    </row>
    <row r="256" s="291" customFormat="1" ht="105.75" customHeight="1" spans="1:9">
      <c r="A256" s="310">
        <v>2070305</v>
      </c>
      <c r="B256" s="321" t="s">
        <v>278</v>
      </c>
      <c r="C256" s="322">
        <v>3346</v>
      </c>
      <c r="D256" s="323"/>
      <c r="E256" s="322">
        <v>6140.7</v>
      </c>
      <c r="F256" s="324">
        <f t="shared" si="22"/>
        <v>6140.7</v>
      </c>
      <c r="G256" s="325">
        <f t="shared" si="18"/>
        <v>0.835236102809324</v>
      </c>
      <c r="H256" s="326" t="s">
        <v>986</v>
      </c>
      <c r="I256" s="316">
        <f t="shared" si="21"/>
        <v>7</v>
      </c>
    </row>
    <row r="257" s="291" customFormat="1" ht="24.95" customHeight="1" spans="1:9">
      <c r="A257" s="310">
        <v>2070307</v>
      </c>
      <c r="B257" s="327" t="s">
        <v>279</v>
      </c>
      <c r="C257" s="322">
        <v>9</v>
      </c>
      <c r="D257" s="323"/>
      <c r="E257" s="322"/>
      <c r="F257" s="324">
        <f t="shared" si="22"/>
        <v>0</v>
      </c>
      <c r="G257" s="325">
        <f t="shared" si="18"/>
        <v>-1</v>
      </c>
      <c r="H257" s="326"/>
      <c r="I257" s="316">
        <f t="shared" si="21"/>
        <v>7</v>
      </c>
    </row>
    <row r="258" s="291" customFormat="1" ht="114" customHeight="1" spans="1:9">
      <c r="A258" s="310">
        <v>2070308</v>
      </c>
      <c r="B258" s="321" t="s">
        <v>281</v>
      </c>
      <c r="C258" s="322">
        <v>4233</v>
      </c>
      <c r="D258" s="323"/>
      <c r="E258" s="322">
        <v>3074.4</v>
      </c>
      <c r="F258" s="324">
        <f t="shared" si="22"/>
        <v>3074.4</v>
      </c>
      <c r="G258" s="325">
        <f t="shared" si="18"/>
        <v>-0.273706591070163</v>
      </c>
      <c r="H258" s="326" t="s">
        <v>987</v>
      </c>
      <c r="I258" s="316">
        <f t="shared" si="21"/>
        <v>7</v>
      </c>
    </row>
    <row r="259" s="291" customFormat="1" ht="24.95" customHeight="1" spans="1:9">
      <c r="A259" s="310">
        <v>2070309</v>
      </c>
      <c r="B259" s="327" t="s">
        <v>282</v>
      </c>
      <c r="C259" s="322"/>
      <c r="D259" s="323"/>
      <c r="E259" s="322"/>
      <c r="F259" s="324"/>
      <c r="G259" s="328"/>
      <c r="H259" s="326"/>
      <c r="I259" s="316">
        <f t="shared" si="21"/>
        <v>7</v>
      </c>
    </row>
    <row r="260" s="291" customFormat="1" ht="24.95" customHeight="1" spans="1:9">
      <c r="A260" s="310">
        <v>2070399</v>
      </c>
      <c r="B260" s="321" t="s">
        <v>283</v>
      </c>
      <c r="C260" s="322">
        <v>3577</v>
      </c>
      <c r="D260" s="323"/>
      <c r="E260" s="322">
        <v>3223.21</v>
      </c>
      <c r="F260" s="324">
        <f t="shared" si="22"/>
        <v>3223.21</v>
      </c>
      <c r="G260" s="325">
        <f t="shared" si="18"/>
        <v>-0.0989069052278445</v>
      </c>
      <c r="H260" s="326"/>
      <c r="I260" s="316">
        <f t="shared" si="21"/>
        <v>7</v>
      </c>
    </row>
    <row r="261" s="291" customFormat="1" ht="24.95" customHeight="1" spans="1:9">
      <c r="A261" s="331">
        <v>20706</v>
      </c>
      <c r="B261" s="332" t="s">
        <v>284</v>
      </c>
      <c r="C261" s="318">
        <v>1337</v>
      </c>
      <c r="D261" s="318"/>
      <c r="E261" s="318">
        <f>SUM(E262:E263)</f>
        <v>1331</v>
      </c>
      <c r="F261" s="319">
        <f t="shared" si="22"/>
        <v>1331</v>
      </c>
      <c r="G261" s="333" t="s">
        <v>20</v>
      </c>
      <c r="H261" s="330"/>
      <c r="I261" s="316">
        <f t="shared" si="21"/>
        <v>5</v>
      </c>
    </row>
    <row r="262" s="291" customFormat="1" ht="24.95" customHeight="1" spans="1:9">
      <c r="A262" s="331">
        <v>2070407</v>
      </c>
      <c r="B262" s="327" t="s">
        <v>285</v>
      </c>
      <c r="C262" s="322">
        <v>1320</v>
      </c>
      <c r="D262" s="323"/>
      <c r="E262" s="322">
        <v>1122</v>
      </c>
      <c r="F262" s="324">
        <f t="shared" si="22"/>
        <v>1122</v>
      </c>
      <c r="G262" s="328" t="s">
        <v>20</v>
      </c>
      <c r="H262" s="326"/>
      <c r="I262" s="316">
        <f t="shared" si="21"/>
        <v>7</v>
      </c>
    </row>
    <row r="263" s="291" customFormat="1" ht="24.95" customHeight="1" spans="1:9">
      <c r="A263" s="310">
        <v>2070499</v>
      </c>
      <c r="B263" s="321" t="s">
        <v>286</v>
      </c>
      <c r="C263" s="322">
        <v>17</v>
      </c>
      <c r="D263" s="323"/>
      <c r="E263" s="322">
        <v>209</v>
      </c>
      <c r="F263" s="324">
        <f t="shared" si="22"/>
        <v>209</v>
      </c>
      <c r="G263" s="328" t="s">
        <v>20</v>
      </c>
      <c r="H263" s="326"/>
      <c r="I263" s="316">
        <v>7</v>
      </c>
    </row>
    <row r="264" s="291" customFormat="1" ht="24.95" customHeight="1" spans="1:9">
      <c r="A264" s="310">
        <v>20708</v>
      </c>
      <c r="B264" s="317" t="s">
        <v>988</v>
      </c>
      <c r="C264" s="318"/>
      <c r="D264" s="318"/>
      <c r="E264" s="318">
        <f>E265</f>
        <v>20</v>
      </c>
      <c r="F264" s="319">
        <f t="shared" si="22"/>
        <v>20</v>
      </c>
      <c r="G264" s="320" t="s">
        <v>20</v>
      </c>
      <c r="H264" s="330"/>
      <c r="I264" s="316">
        <v>7</v>
      </c>
    </row>
    <row r="265" s="291" customFormat="1" ht="24.95" customHeight="1" spans="1:9">
      <c r="A265" s="310">
        <v>2070899</v>
      </c>
      <c r="B265" s="321" t="s">
        <v>989</v>
      </c>
      <c r="C265" s="322"/>
      <c r="D265" s="323"/>
      <c r="E265" s="322">
        <v>20</v>
      </c>
      <c r="F265" s="324">
        <f t="shared" ref="F265:F326" si="23">D265+E265</f>
        <v>20</v>
      </c>
      <c r="G265" s="325" t="s">
        <v>20</v>
      </c>
      <c r="H265" s="326"/>
      <c r="I265" s="316">
        <v>7</v>
      </c>
    </row>
    <row r="266" s="291" customFormat="1" ht="41.1" customHeight="1" spans="1:9">
      <c r="A266" s="310">
        <v>20799</v>
      </c>
      <c r="B266" s="317" t="s">
        <v>990</v>
      </c>
      <c r="C266" s="318">
        <f>SUM(C267:C269)</f>
        <v>16885</v>
      </c>
      <c r="D266" s="318"/>
      <c r="E266" s="318">
        <f>SUM(E267:E269)</f>
        <v>8910.91</v>
      </c>
      <c r="F266" s="319">
        <f t="shared" si="23"/>
        <v>8910.91</v>
      </c>
      <c r="G266" s="320">
        <f t="shared" ref="G266:G325" si="24">F266/C266-1</f>
        <v>-0.472258809594315</v>
      </c>
      <c r="H266" s="330"/>
      <c r="I266" s="316">
        <f t="shared" ref="I266:I310" si="25">LEN(A266)</f>
        <v>5</v>
      </c>
    </row>
    <row r="267" s="291" customFormat="1" ht="29.25" customHeight="1" spans="1:9">
      <c r="A267" s="310">
        <v>2079902</v>
      </c>
      <c r="B267" s="327" t="s">
        <v>288</v>
      </c>
      <c r="C267" s="322">
        <v>50</v>
      </c>
      <c r="D267" s="323"/>
      <c r="E267" s="322"/>
      <c r="F267" s="324">
        <f t="shared" si="23"/>
        <v>0</v>
      </c>
      <c r="G267" s="325">
        <f t="shared" si="24"/>
        <v>-1</v>
      </c>
      <c r="H267" s="338"/>
      <c r="I267" s="316">
        <f t="shared" si="25"/>
        <v>7</v>
      </c>
    </row>
    <row r="268" s="291" customFormat="1" ht="92.25" customHeight="1" spans="1:9">
      <c r="A268" s="310">
        <v>2079903</v>
      </c>
      <c r="B268" s="327" t="s">
        <v>991</v>
      </c>
      <c r="C268" s="322"/>
      <c r="D268" s="323"/>
      <c r="E268" s="322">
        <v>1257.75</v>
      </c>
      <c r="F268" s="324">
        <f t="shared" si="23"/>
        <v>1257.75</v>
      </c>
      <c r="G268" s="328" t="s">
        <v>20</v>
      </c>
      <c r="H268" s="338" t="s">
        <v>992</v>
      </c>
      <c r="I268" s="316">
        <v>7</v>
      </c>
    </row>
    <row r="269" s="291" customFormat="1" ht="82.5" customHeight="1" spans="1:9">
      <c r="A269" s="310">
        <v>2079999</v>
      </c>
      <c r="B269" s="321" t="s">
        <v>993</v>
      </c>
      <c r="C269" s="322">
        <v>16835</v>
      </c>
      <c r="D269" s="323"/>
      <c r="E269" s="339">
        <v>7653.16</v>
      </c>
      <c r="F269" s="324">
        <f t="shared" si="23"/>
        <v>7653.16</v>
      </c>
      <c r="G269" s="325">
        <f t="shared" si="24"/>
        <v>-0.545401841401841</v>
      </c>
      <c r="H269" s="326" t="s">
        <v>994</v>
      </c>
      <c r="I269" s="316">
        <f t="shared" si="25"/>
        <v>7</v>
      </c>
    </row>
    <row r="270" s="291" customFormat="1" ht="24.95" customHeight="1" spans="1:9">
      <c r="A270" s="310">
        <v>208</v>
      </c>
      <c r="B270" s="311" t="s">
        <v>290</v>
      </c>
      <c r="C270" s="312">
        <f>C271+C280+C289+C297+C299+C303+C309+C315+C320+C327+C330+C332+C334+C336+C340</f>
        <v>192652</v>
      </c>
      <c r="D270" s="313">
        <f>D271+D303+D320</f>
        <v>1402</v>
      </c>
      <c r="E270" s="340">
        <f>E271+E280+E289+E299+E303+E309+E315+E320+E330+E332+E334+E336+E340</f>
        <v>185472.17</v>
      </c>
      <c r="F270" s="314">
        <f t="shared" si="23"/>
        <v>186874.17</v>
      </c>
      <c r="G270" s="315">
        <f t="shared" si="24"/>
        <v>-0.0299910200776529</v>
      </c>
      <c r="H270" s="312"/>
      <c r="I270" s="316">
        <f t="shared" si="25"/>
        <v>3</v>
      </c>
    </row>
    <row r="271" s="291" customFormat="1" ht="42" customHeight="1" spans="1:9">
      <c r="A271" s="310">
        <v>20801</v>
      </c>
      <c r="B271" s="317" t="s">
        <v>291</v>
      </c>
      <c r="C271" s="318">
        <f>SUM(C272:C279)</f>
        <v>10829</v>
      </c>
      <c r="D271" s="318">
        <v>199</v>
      </c>
      <c r="E271" s="341">
        <f>SUM(E272:E279)</f>
        <v>9844.83</v>
      </c>
      <c r="F271" s="319">
        <f t="shared" si="23"/>
        <v>10043.83</v>
      </c>
      <c r="G271" s="320">
        <f t="shared" si="24"/>
        <v>-0.0725062332625359</v>
      </c>
      <c r="H271" s="330"/>
      <c r="I271" s="316">
        <f t="shared" si="25"/>
        <v>5</v>
      </c>
    </row>
    <row r="272" s="291" customFormat="1" ht="36.75" customHeight="1" spans="1:9">
      <c r="A272" s="310">
        <v>2080101</v>
      </c>
      <c r="B272" s="321" t="s">
        <v>49</v>
      </c>
      <c r="C272" s="322">
        <v>5372</v>
      </c>
      <c r="D272" s="323"/>
      <c r="E272" s="339">
        <v>5084.68</v>
      </c>
      <c r="F272" s="324">
        <f t="shared" si="23"/>
        <v>5084.68</v>
      </c>
      <c r="G272" s="325">
        <f t="shared" si="24"/>
        <v>-0.0534847356664184</v>
      </c>
      <c r="H272" s="326"/>
      <c r="I272" s="316">
        <f t="shared" si="25"/>
        <v>7</v>
      </c>
    </row>
    <row r="273" s="291" customFormat="1" ht="42.95" customHeight="1" spans="1:9">
      <c r="A273" s="310">
        <v>2080102</v>
      </c>
      <c r="B273" s="321" t="s">
        <v>50</v>
      </c>
      <c r="C273" s="322">
        <v>540</v>
      </c>
      <c r="D273" s="323"/>
      <c r="E273" s="339">
        <v>332.56</v>
      </c>
      <c r="F273" s="324">
        <f t="shared" si="23"/>
        <v>332.56</v>
      </c>
      <c r="G273" s="325">
        <f t="shared" si="24"/>
        <v>-0.384148148148148</v>
      </c>
      <c r="H273" s="326" t="s">
        <v>931</v>
      </c>
      <c r="I273" s="316">
        <f t="shared" si="25"/>
        <v>7</v>
      </c>
    </row>
    <row r="274" s="291" customFormat="1" ht="33" customHeight="1" spans="1:9">
      <c r="A274" s="310">
        <v>2080105</v>
      </c>
      <c r="B274" s="321" t="s">
        <v>292</v>
      </c>
      <c r="C274" s="322">
        <v>671</v>
      </c>
      <c r="D274" s="323"/>
      <c r="E274" s="339">
        <v>830.65</v>
      </c>
      <c r="F274" s="324">
        <f t="shared" si="23"/>
        <v>830.65</v>
      </c>
      <c r="G274" s="325">
        <f t="shared" si="24"/>
        <v>0.237928464977645</v>
      </c>
      <c r="H274" s="326"/>
      <c r="I274" s="316">
        <f t="shared" si="25"/>
        <v>7</v>
      </c>
    </row>
    <row r="275" s="291" customFormat="1" ht="24.95" customHeight="1" spans="1:9">
      <c r="A275" s="310">
        <v>2080106</v>
      </c>
      <c r="B275" s="321" t="s">
        <v>293</v>
      </c>
      <c r="C275" s="322">
        <v>1607</v>
      </c>
      <c r="D275" s="323"/>
      <c r="E275" s="339">
        <v>1364.41</v>
      </c>
      <c r="F275" s="324">
        <f t="shared" si="23"/>
        <v>1364.41</v>
      </c>
      <c r="G275" s="325">
        <f t="shared" si="24"/>
        <v>-0.150958307405103</v>
      </c>
      <c r="H275" s="326"/>
      <c r="I275" s="316">
        <f t="shared" si="25"/>
        <v>7</v>
      </c>
    </row>
    <row r="276" s="291" customFormat="1" ht="79.5" customHeight="1" spans="1:9">
      <c r="A276" s="310">
        <v>2080110</v>
      </c>
      <c r="B276" s="321" t="s">
        <v>294</v>
      </c>
      <c r="C276" s="322">
        <v>161</v>
      </c>
      <c r="D276" s="323"/>
      <c r="E276" s="339">
        <v>514</v>
      </c>
      <c r="F276" s="324">
        <f t="shared" si="23"/>
        <v>514</v>
      </c>
      <c r="G276" s="325">
        <f t="shared" si="24"/>
        <v>2.19254658385093</v>
      </c>
      <c r="H276" s="326" t="s">
        <v>995</v>
      </c>
      <c r="I276" s="316">
        <f t="shared" si="25"/>
        <v>7</v>
      </c>
    </row>
    <row r="277" s="291" customFormat="1" ht="29.25" customHeight="1" spans="1:9">
      <c r="A277" s="310">
        <v>2080111</v>
      </c>
      <c r="B277" s="321" t="s">
        <v>296</v>
      </c>
      <c r="C277" s="322">
        <v>587</v>
      </c>
      <c r="D277" s="323"/>
      <c r="E277" s="339">
        <v>452.68</v>
      </c>
      <c r="F277" s="324">
        <f t="shared" si="23"/>
        <v>452.68</v>
      </c>
      <c r="G277" s="325">
        <f t="shared" si="24"/>
        <v>-0.228824531516184</v>
      </c>
      <c r="H277" s="326"/>
      <c r="I277" s="316">
        <f t="shared" si="25"/>
        <v>7</v>
      </c>
    </row>
    <row r="278" s="291" customFormat="1" ht="44.25" customHeight="1" spans="1:9">
      <c r="A278" s="310">
        <v>2080112</v>
      </c>
      <c r="B278" s="321" t="s">
        <v>297</v>
      </c>
      <c r="C278" s="322">
        <v>832</v>
      </c>
      <c r="D278" s="323"/>
      <c r="E278" s="339">
        <v>834.55</v>
      </c>
      <c r="F278" s="324">
        <f t="shared" si="23"/>
        <v>834.55</v>
      </c>
      <c r="G278" s="325">
        <f t="shared" si="24"/>
        <v>0.00306490384615388</v>
      </c>
      <c r="H278" s="326" t="s">
        <v>996</v>
      </c>
      <c r="I278" s="316">
        <f t="shared" si="25"/>
        <v>7</v>
      </c>
    </row>
    <row r="279" s="291" customFormat="1" ht="43.5" customHeight="1" spans="1:9">
      <c r="A279" s="310">
        <v>2080199</v>
      </c>
      <c r="B279" s="321" t="s">
        <v>298</v>
      </c>
      <c r="C279" s="322">
        <v>1059</v>
      </c>
      <c r="D279" s="323">
        <v>199</v>
      </c>
      <c r="E279" s="339">
        <v>431.3</v>
      </c>
      <c r="F279" s="324">
        <f t="shared" si="23"/>
        <v>630.3</v>
      </c>
      <c r="G279" s="325">
        <f t="shared" si="24"/>
        <v>-0.404815864022663</v>
      </c>
      <c r="H279" s="326" t="s">
        <v>997</v>
      </c>
      <c r="I279" s="316">
        <f t="shared" si="25"/>
        <v>7</v>
      </c>
    </row>
    <row r="280" s="291" customFormat="1" ht="24.95" customHeight="1" spans="1:9">
      <c r="A280" s="310">
        <v>20802</v>
      </c>
      <c r="B280" s="317" t="s">
        <v>299</v>
      </c>
      <c r="C280" s="318">
        <f>SUM(C281:C288)</f>
        <v>12264</v>
      </c>
      <c r="D280" s="318"/>
      <c r="E280" s="341">
        <f>SUM(E281:E288)</f>
        <v>10766.18</v>
      </c>
      <c r="F280" s="319">
        <f t="shared" si="23"/>
        <v>10766.18</v>
      </c>
      <c r="G280" s="320">
        <f t="shared" si="24"/>
        <v>-0.122131441617743</v>
      </c>
      <c r="H280" s="330"/>
      <c r="I280" s="316">
        <f t="shared" si="25"/>
        <v>5</v>
      </c>
    </row>
    <row r="281" s="291" customFormat="1" ht="24.95" customHeight="1" spans="1:9">
      <c r="A281" s="310">
        <v>2080201</v>
      </c>
      <c r="B281" s="321" t="s">
        <v>49</v>
      </c>
      <c r="C281" s="322">
        <v>1490</v>
      </c>
      <c r="D281" s="323"/>
      <c r="E281" s="339">
        <v>1277.45</v>
      </c>
      <c r="F281" s="324">
        <f t="shared" si="23"/>
        <v>1277.45</v>
      </c>
      <c r="G281" s="325">
        <f t="shared" si="24"/>
        <v>-0.142651006711409</v>
      </c>
      <c r="H281" s="326"/>
      <c r="I281" s="316">
        <f t="shared" si="25"/>
        <v>7</v>
      </c>
    </row>
    <row r="282" s="291" customFormat="1" ht="24.95" customHeight="1" spans="1:9">
      <c r="A282" s="310">
        <v>2080202</v>
      </c>
      <c r="B282" s="321" t="s">
        <v>50</v>
      </c>
      <c r="C282" s="322">
        <v>317</v>
      </c>
      <c r="D282" s="323"/>
      <c r="E282" s="339">
        <v>260.22</v>
      </c>
      <c r="F282" s="324">
        <f t="shared" si="23"/>
        <v>260.22</v>
      </c>
      <c r="G282" s="325">
        <f t="shared" si="24"/>
        <v>-0.179116719242902</v>
      </c>
      <c r="H282" s="326"/>
      <c r="I282" s="316">
        <f t="shared" si="25"/>
        <v>7</v>
      </c>
    </row>
    <row r="283" s="291" customFormat="1" ht="24.95" customHeight="1" spans="1:9">
      <c r="A283" s="310">
        <v>2080204</v>
      </c>
      <c r="B283" s="327" t="s">
        <v>300</v>
      </c>
      <c r="C283" s="322"/>
      <c r="D283" s="323"/>
      <c r="E283" s="322"/>
      <c r="F283" s="324"/>
      <c r="G283" s="328"/>
      <c r="H283" s="326"/>
      <c r="I283" s="316">
        <f t="shared" si="25"/>
        <v>7</v>
      </c>
    </row>
    <row r="284" s="291" customFormat="1" ht="24.95" customHeight="1" spans="1:9">
      <c r="A284" s="310">
        <v>2080205</v>
      </c>
      <c r="B284" s="327" t="s">
        <v>301</v>
      </c>
      <c r="C284" s="322"/>
      <c r="D284" s="323"/>
      <c r="E284" s="322"/>
      <c r="F284" s="324"/>
      <c r="G284" s="328"/>
      <c r="H284" s="326"/>
      <c r="I284" s="316">
        <f t="shared" si="25"/>
        <v>7</v>
      </c>
    </row>
    <row r="285" s="291" customFormat="1" ht="24.95" customHeight="1" spans="1:9">
      <c r="A285" s="310">
        <v>2080206</v>
      </c>
      <c r="B285" s="321" t="s">
        <v>998</v>
      </c>
      <c r="C285" s="322">
        <v>119</v>
      </c>
      <c r="D285" s="323"/>
      <c r="E285" s="339">
        <v>102</v>
      </c>
      <c r="F285" s="324">
        <f t="shared" si="23"/>
        <v>102</v>
      </c>
      <c r="G285" s="325">
        <f t="shared" si="24"/>
        <v>-0.142857142857143</v>
      </c>
      <c r="H285" s="326"/>
      <c r="I285" s="316">
        <f t="shared" si="25"/>
        <v>7</v>
      </c>
    </row>
    <row r="286" s="291" customFormat="1" ht="24.95" customHeight="1" spans="1:9">
      <c r="A286" s="310">
        <v>2080207</v>
      </c>
      <c r="B286" s="321" t="s">
        <v>303</v>
      </c>
      <c r="C286" s="322">
        <v>23</v>
      </c>
      <c r="D286" s="323"/>
      <c r="E286" s="339">
        <v>22</v>
      </c>
      <c r="F286" s="324">
        <f t="shared" si="23"/>
        <v>22</v>
      </c>
      <c r="G286" s="325">
        <f t="shared" si="24"/>
        <v>-0.0434782608695652</v>
      </c>
      <c r="H286" s="326"/>
      <c r="I286" s="316">
        <f t="shared" si="25"/>
        <v>7</v>
      </c>
    </row>
    <row r="287" s="291" customFormat="1" ht="35.25" customHeight="1" spans="1:9">
      <c r="A287" s="310">
        <v>2080208</v>
      </c>
      <c r="B287" s="321" t="s">
        <v>999</v>
      </c>
      <c r="C287" s="322">
        <v>46</v>
      </c>
      <c r="D287" s="323"/>
      <c r="E287" s="339">
        <v>28</v>
      </c>
      <c r="F287" s="324">
        <f t="shared" si="23"/>
        <v>28</v>
      </c>
      <c r="G287" s="325">
        <f t="shared" si="24"/>
        <v>-0.391304347826087</v>
      </c>
      <c r="H287" s="326" t="s">
        <v>997</v>
      </c>
      <c r="I287" s="316">
        <f t="shared" si="25"/>
        <v>7</v>
      </c>
    </row>
    <row r="288" s="291" customFormat="1" ht="81" customHeight="1" spans="1:9">
      <c r="A288" s="310">
        <v>2080299</v>
      </c>
      <c r="B288" s="321" t="s">
        <v>306</v>
      </c>
      <c r="C288" s="322">
        <v>10269</v>
      </c>
      <c r="D288" s="323"/>
      <c r="E288" s="322">
        <v>9076.51</v>
      </c>
      <c r="F288" s="324">
        <f t="shared" si="23"/>
        <v>9076.51</v>
      </c>
      <c r="G288" s="325">
        <f t="shared" si="24"/>
        <v>-0.116125231278606</v>
      </c>
      <c r="H288" s="326" t="s">
        <v>1000</v>
      </c>
      <c r="I288" s="316">
        <f t="shared" si="25"/>
        <v>7</v>
      </c>
    </row>
    <row r="289" s="291" customFormat="1" ht="24.95" customHeight="1" spans="1:9">
      <c r="A289" s="310">
        <v>20805</v>
      </c>
      <c r="B289" s="317" t="s">
        <v>307</v>
      </c>
      <c r="C289" s="318">
        <f>SUM(C290:C296)</f>
        <v>105063</v>
      </c>
      <c r="D289" s="318"/>
      <c r="E289" s="318">
        <f>SUM(E290:E296)</f>
        <v>96011.37</v>
      </c>
      <c r="F289" s="319">
        <f t="shared" si="23"/>
        <v>96011.37</v>
      </c>
      <c r="G289" s="320">
        <f t="shared" si="24"/>
        <v>-0.0861543074155505</v>
      </c>
      <c r="H289" s="330"/>
      <c r="I289" s="316">
        <f t="shared" si="25"/>
        <v>5</v>
      </c>
    </row>
    <row r="290" s="291" customFormat="1" ht="43.5" customHeight="1" spans="1:9">
      <c r="A290" s="310">
        <v>2080501</v>
      </c>
      <c r="B290" s="321" t="s">
        <v>308</v>
      </c>
      <c r="C290" s="322">
        <v>11215</v>
      </c>
      <c r="D290" s="323"/>
      <c r="E290" s="322">
        <v>7430.77</v>
      </c>
      <c r="F290" s="324">
        <f t="shared" si="23"/>
        <v>7430.77</v>
      </c>
      <c r="G290" s="325">
        <f t="shared" si="24"/>
        <v>-0.337425769059296</v>
      </c>
      <c r="H290" s="342" t="s">
        <v>1001</v>
      </c>
      <c r="I290" s="316">
        <f t="shared" si="25"/>
        <v>7</v>
      </c>
    </row>
    <row r="291" s="291" customFormat="1" ht="24.95" customHeight="1" spans="1:9">
      <c r="A291" s="310">
        <v>2080502</v>
      </c>
      <c r="B291" s="321" t="s">
        <v>309</v>
      </c>
      <c r="C291" s="322">
        <v>8735</v>
      </c>
      <c r="D291" s="323"/>
      <c r="E291" s="322">
        <v>7021.58</v>
      </c>
      <c r="F291" s="324">
        <f t="shared" si="23"/>
        <v>7021.58</v>
      </c>
      <c r="G291" s="325">
        <f t="shared" si="24"/>
        <v>-0.196155695477962</v>
      </c>
      <c r="H291" s="326"/>
      <c r="I291" s="316">
        <f t="shared" si="25"/>
        <v>7</v>
      </c>
    </row>
    <row r="292" s="291" customFormat="1" ht="24.95" customHeight="1" spans="1:9">
      <c r="A292" s="310">
        <v>2080503</v>
      </c>
      <c r="B292" s="321" t="s">
        <v>310</v>
      </c>
      <c r="C292" s="322">
        <f>1548-1</f>
        <v>1547</v>
      </c>
      <c r="D292" s="323"/>
      <c r="E292" s="322">
        <v>1318.47</v>
      </c>
      <c r="F292" s="324">
        <f t="shared" si="23"/>
        <v>1318.47</v>
      </c>
      <c r="G292" s="325">
        <f t="shared" si="24"/>
        <v>-0.147724628312864</v>
      </c>
      <c r="H292" s="326"/>
      <c r="I292" s="316">
        <f t="shared" si="25"/>
        <v>7</v>
      </c>
    </row>
    <row r="293" s="291" customFormat="1" ht="45" customHeight="1" spans="1:9">
      <c r="A293" s="310">
        <v>2080505</v>
      </c>
      <c r="B293" s="321" t="s">
        <v>311</v>
      </c>
      <c r="C293" s="322">
        <v>57642</v>
      </c>
      <c r="D293" s="323"/>
      <c r="E293" s="322">
        <v>54183.06</v>
      </c>
      <c r="F293" s="324">
        <f t="shared" si="23"/>
        <v>54183.06</v>
      </c>
      <c r="G293" s="325">
        <f t="shared" si="24"/>
        <v>-0.0600072863537005</v>
      </c>
      <c r="H293" s="326"/>
      <c r="I293" s="316">
        <f t="shared" si="25"/>
        <v>7</v>
      </c>
    </row>
    <row r="294" s="291" customFormat="1" ht="42" customHeight="1" spans="1:9">
      <c r="A294" s="310">
        <v>2080506</v>
      </c>
      <c r="B294" s="321" t="s">
        <v>312</v>
      </c>
      <c r="C294" s="322">
        <v>24490</v>
      </c>
      <c r="D294" s="323"/>
      <c r="E294" s="322">
        <v>24623.3</v>
      </c>
      <c r="F294" s="324">
        <f t="shared" si="23"/>
        <v>24623.3</v>
      </c>
      <c r="G294" s="325">
        <f t="shared" si="24"/>
        <v>0.00544303797468348</v>
      </c>
      <c r="H294" s="326"/>
      <c r="I294" s="316">
        <f t="shared" si="25"/>
        <v>7</v>
      </c>
    </row>
    <row r="295" s="291" customFormat="1" ht="37.5" customHeight="1" spans="1:9">
      <c r="A295" s="310">
        <v>2080507</v>
      </c>
      <c r="B295" s="321" t="s">
        <v>313</v>
      </c>
      <c r="C295" s="322">
        <v>20</v>
      </c>
      <c r="D295" s="323"/>
      <c r="E295" s="322">
        <v>149.98</v>
      </c>
      <c r="F295" s="324">
        <f t="shared" si="23"/>
        <v>149.98</v>
      </c>
      <c r="G295" s="325">
        <f t="shared" si="24"/>
        <v>6.499</v>
      </c>
      <c r="H295" s="326" t="s">
        <v>1002</v>
      </c>
      <c r="I295" s="316">
        <f t="shared" si="25"/>
        <v>7</v>
      </c>
    </row>
    <row r="296" s="291" customFormat="1" ht="44.1" customHeight="1" spans="1:9">
      <c r="A296" s="310">
        <v>2080599</v>
      </c>
      <c r="B296" s="321" t="s">
        <v>315</v>
      </c>
      <c r="C296" s="322">
        <v>1414</v>
      </c>
      <c r="D296" s="323"/>
      <c r="E296" s="322">
        <v>1284.21</v>
      </c>
      <c r="F296" s="324">
        <f t="shared" si="23"/>
        <v>1284.21</v>
      </c>
      <c r="G296" s="325">
        <f t="shared" si="24"/>
        <v>-0.0917892503536067</v>
      </c>
      <c r="H296" s="326"/>
      <c r="I296" s="316">
        <f t="shared" si="25"/>
        <v>7</v>
      </c>
    </row>
    <row r="297" s="291" customFormat="1" ht="24.95" customHeight="1" spans="1:9">
      <c r="A297" s="310">
        <v>20806</v>
      </c>
      <c r="B297" s="317" t="s">
        <v>316</v>
      </c>
      <c r="C297" s="318">
        <f>C298</f>
        <v>1198</v>
      </c>
      <c r="D297" s="318"/>
      <c r="E297" s="318"/>
      <c r="F297" s="319">
        <f t="shared" si="23"/>
        <v>0</v>
      </c>
      <c r="G297" s="320">
        <f t="shared" si="24"/>
        <v>-1</v>
      </c>
      <c r="H297" s="330"/>
      <c r="I297" s="316">
        <f t="shared" si="25"/>
        <v>5</v>
      </c>
    </row>
    <row r="298" s="291" customFormat="1" ht="24.95" customHeight="1" spans="1:9">
      <c r="A298" s="310">
        <v>2080699</v>
      </c>
      <c r="B298" s="321" t="s">
        <v>317</v>
      </c>
      <c r="C298" s="322">
        <v>1198</v>
      </c>
      <c r="D298" s="323"/>
      <c r="E298" s="322"/>
      <c r="F298" s="324">
        <f t="shared" si="23"/>
        <v>0</v>
      </c>
      <c r="G298" s="325">
        <f t="shared" si="24"/>
        <v>-1</v>
      </c>
      <c r="H298" s="326"/>
      <c r="I298" s="316">
        <f t="shared" si="25"/>
        <v>7</v>
      </c>
    </row>
    <row r="299" s="291" customFormat="1" ht="24.95" customHeight="1" spans="1:9">
      <c r="A299" s="310">
        <v>20807</v>
      </c>
      <c r="B299" s="317" t="s">
        <v>318</v>
      </c>
      <c r="C299" s="318">
        <f>SUM(C300:C302)</f>
        <v>3573</v>
      </c>
      <c r="D299" s="318"/>
      <c r="E299" s="318">
        <f>SUM(E300:E302)</f>
        <v>2611.06</v>
      </c>
      <c r="F299" s="319">
        <f t="shared" si="23"/>
        <v>2611.06</v>
      </c>
      <c r="G299" s="320">
        <f t="shared" si="24"/>
        <v>-0.26922474111391</v>
      </c>
      <c r="H299" s="330"/>
      <c r="I299" s="316">
        <f t="shared" si="25"/>
        <v>5</v>
      </c>
    </row>
    <row r="300" s="291" customFormat="1" ht="24.95" customHeight="1" spans="1:9">
      <c r="A300" s="310">
        <v>2080702</v>
      </c>
      <c r="B300" s="321" t="s">
        <v>319</v>
      </c>
      <c r="C300" s="322"/>
      <c r="D300" s="323"/>
      <c r="E300" s="322"/>
      <c r="F300" s="324"/>
      <c r="G300" s="328"/>
      <c r="H300" s="326"/>
      <c r="I300" s="316">
        <f t="shared" si="25"/>
        <v>7</v>
      </c>
    </row>
    <row r="301" s="291" customFormat="1" ht="24.95" customHeight="1" spans="1:9">
      <c r="A301" s="310">
        <v>2080712</v>
      </c>
      <c r="B301" s="321" t="s">
        <v>321</v>
      </c>
      <c r="C301" s="322"/>
      <c r="D301" s="323"/>
      <c r="E301" s="322"/>
      <c r="F301" s="324"/>
      <c r="G301" s="328"/>
      <c r="H301" s="326"/>
      <c r="I301" s="316">
        <f t="shared" si="25"/>
        <v>7</v>
      </c>
    </row>
    <row r="302" s="291" customFormat="1" ht="24.95" customHeight="1" spans="1:9">
      <c r="A302" s="310">
        <v>2080799</v>
      </c>
      <c r="B302" s="321" t="s">
        <v>322</v>
      </c>
      <c r="C302" s="322">
        <v>3573</v>
      </c>
      <c r="D302" s="323"/>
      <c r="E302" s="322">
        <v>2611.06</v>
      </c>
      <c r="F302" s="324">
        <f t="shared" si="23"/>
        <v>2611.06</v>
      </c>
      <c r="G302" s="325">
        <f t="shared" si="24"/>
        <v>-0.26922474111391</v>
      </c>
      <c r="H302" s="326" t="s">
        <v>1003</v>
      </c>
      <c r="I302" s="316">
        <f t="shared" si="25"/>
        <v>7</v>
      </c>
    </row>
    <row r="303" s="291" customFormat="1" ht="24.95" customHeight="1" spans="1:9">
      <c r="A303" s="310">
        <v>20808</v>
      </c>
      <c r="B303" s="317" t="s">
        <v>323</v>
      </c>
      <c r="C303" s="318">
        <f>SUM(C304:C308)</f>
        <v>3931</v>
      </c>
      <c r="D303" s="318">
        <f>D304</f>
        <v>1200</v>
      </c>
      <c r="E303" s="318">
        <f>SUM(E304:E308)</f>
        <v>3810.82</v>
      </c>
      <c r="F303" s="319">
        <f t="shared" si="23"/>
        <v>5010.82</v>
      </c>
      <c r="G303" s="320">
        <f t="shared" si="24"/>
        <v>0.274693462223353</v>
      </c>
      <c r="H303" s="330"/>
      <c r="I303" s="316">
        <f t="shared" si="25"/>
        <v>5</v>
      </c>
    </row>
    <row r="304" s="291" customFormat="1" ht="24.95" customHeight="1" spans="1:9">
      <c r="A304" s="310">
        <v>2080801</v>
      </c>
      <c r="B304" s="327" t="s">
        <v>324</v>
      </c>
      <c r="C304" s="322">
        <v>879</v>
      </c>
      <c r="D304" s="323">
        <v>1200</v>
      </c>
      <c r="E304" s="322"/>
      <c r="F304" s="324">
        <f t="shared" si="23"/>
        <v>1200</v>
      </c>
      <c r="G304" s="325">
        <f t="shared" si="24"/>
        <v>0.36518771331058</v>
      </c>
      <c r="H304" s="326"/>
      <c r="I304" s="316">
        <f t="shared" si="25"/>
        <v>7</v>
      </c>
    </row>
    <row r="305" s="291" customFormat="1" ht="24.95" customHeight="1" spans="1:9">
      <c r="A305" s="310">
        <v>2080802</v>
      </c>
      <c r="B305" s="327" t="s">
        <v>325</v>
      </c>
      <c r="C305" s="322">
        <v>35</v>
      </c>
      <c r="D305" s="323"/>
      <c r="E305" s="322"/>
      <c r="F305" s="324">
        <f t="shared" si="23"/>
        <v>0</v>
      </c>
      <c r="G305" s="325">
        <f t="shared" si="24"/>
        <v>-1</v>
      </c>
      <c r="H305" s="326"/>
      <c r="I305" s="316">
        <f t="shared" si="25"/>
        <v>7</v>
      </c>
    </row>
    <row r="306" s="291" customFormat="1" ht="28.5" customHeight="1" spans="1:9">
      <c r="A306" s="310">
        <v>2080804</v>
      </c>
      <c r="B306" s="321" t="s">
        <v>326</v>
      </c>
      <c r="C306" s="322">
        <v>515</v>
      </c>
      <c r="D306" s="323"/>
      <c r="E306" s="322"/>
      <c r="F306" s="324">
        <f t="shared" si="23"/>
        <v>0</v>
      </c>
      <c r="G306" s="325">
        <f t="shared" si="24"/>
        <v>-1</v>
      </c>
      <c r="H306" s="326" t="s">
        <v>997</v>
      </c>
      <c r="I306" s="316">
        <f t="shared" si="25"/>
        <v>7</v>
      </c>
    </row>
    <row r="307" s="291" customFormat="1" ht="24.95" customHeight="1" spans="1:9">
      <c r="A307" s="310">
        <v>2080805</v>
      </c>
      <c r="B307" s="327" t="s">
        <v>328</v>
      </c>
      <c r="C307" s="322"/>
      <c r="D307" s="323"/>
      <c r="E307" s="322"/>
      <c r="F307" s="324"/>
      <c r="G307" s="328"/>
      <c r="H307" s="326"/>
      <c r="I307" s="316">
        <f t="shared" si="25"/>
        <v>7</v>
      </c>
    </row>
    <row r="308" s="291" customFormat="1" ht="70.5" customHeight="1" spans="1:9">
      <c r="A308" s="310">
        <v>2080899</v>
      </c>
      <c r="B308" s="321" t="s">
        <v>329</v>
      </c>
      <c r="C308" s="322">
        <v>2502</v>
      </c>
      <c r="D308" s="323"/>
      <c r="E308" s="322">
        <v>3810.82</v>
      </c>
      <c r="F308" s="324">
        <f t="shared" si="23"/>
        <v>3810.82</v>
      </c>
      <c r="G308" s="325">
        <f t="shared" si="24"/>
        <v>0.523109512390088</v>
      </c>
      <c r="H308" s="326" t="s">
        <v>1004</v>
      </c>
      <c r="I308" s="316">
        <f t="shared" si="25"/>
        <v>7</v>
      </c>
    </row>
    <row r="309" s="291" customFormat="1" ht="24.95" customHeight="1" spans="1:9">
      <c r="A309" s="310">
        <v>20809</v>
      </c>
      <c r="B309" s="317" t="s">
        <v>330</v>
      </c>
      <c r="C309" s="318">
        <f>SUM(C310:C314)</f>
        <v>3422</v>
      </c>
      <c r="D309" s="318"/>
      <c r="E309" s="318">
        <f>SUM(E310:E314)</f>
        <v>3795.75</v>
      </c>
      <c r="F309" s="319">
        <f t="shared" si="23"/>
        <v>3795.75</v>
      </c>
      <c r="G309" s="320">
        <f t="shared" si="24"/>
        <v>0.109219754529515</v>
      </c>
      <c r="H309" s="330"/>
      <c r="I309" s="316">
        <f t="shared" si="25"/>
        <v>5</v>
      </c>
    </row>
    <row r="310" s="291" customFormat="1" ht="48" customHeight="1" spans="1:9">
      <c r="A310" s="310">
        <v>2080901</v>
      </c>
      <c r="B310" s="321" t="s">
        <v>331</v>
      </c>
      <c r="C310" s="322">
        <v>183</v>
      </c>
      <c r="D310" s="323"/>
      <c r="E310" s="322">
        <v>108</v>
      </c>
      <c r="F310" s="324">
        <f t="shared" si="23"/>
        <v>108</v>
      </c>
      <c r="G310" s="325">
        <f t="shared" si="24"/>
        <v>-0.409836065573771</v>
      </c>
      <c r="H310" s="326" t="s">
        <v>997</v>
      </c>
      <c r="I310" s="316">
        <f t="shared" si="25"/>
        <v>7</v>
      </c>
    </row>
    <row r="311" s="291" customFormat="1" ht="39" customHeight="1" spans="1:9">
      <c r="A311" s="310">
        <v>2080902</v>
      </c>
      <c r="B311" s="321" t="s">
        <v>1005</v>
      </c>
      <c r="C311" s="322"/>
      <c r="D311" s="323"/>
      <c r="E311" s="322">
        <v>10</v>
      </c>
      <c r="F311" s="324">
        <f t="shared" si="23"/>
        <v>10</v>
      </c>
      <c r="G311" s="328" t="s">
        <v>20</v>
      </c>
      <c r="H311" s="326"/>
      <c r="I311" s="316">
        <v>7</v>
      </c>
    </row>
    <row r="312" s="291" customFormat="1" ht="77.25" customHeight="1" spans="1:9">
      <c r="A312" s="310">
        <v>2080904</v>
      </c>
      <c r="B312" s="321" t="s">
        <v>333</v>
      </c>
      <c r="C312" s="322">
        <v>287</v>
      </c>
      <c r="D312" s="323"/>
      <c r="E312" s="322">
        <v>497.65</v>
      </c>
      <c r="F312" s="324">
        <f t="shared" si="23"/>
        <v>497.65</v>
      </c>
      <c r="G312" s="325">
        <f t="shared" si="24"/>
        <v>0.73397212543554</v>
      </c>
      <c r="H312" s="326" t="s">
        <v>1006</v>
      </c>
      <c r="I312" s="316">
        <f t="shared" ref="I312:I335" si="26">LEN(A312)</f>
        <v>7</v>
      </c>
    </row>
    <row r="313" s="291" customFormat="1" ht="24.95" customHeight="1" spans="1:9">
      <c r="A313" s="310">
        <v>2080905</v>
      </c>
      <c r="B313" s="321" t="s">
        <v>98</v>
      </c>
      <c r="C313" s="322"/>
      <c r="D313" s="323"/>
      <c r="E313" s="322">
        <v>58</v>
      </c>
      <c r="F313" s="324">
        <f t="shared" si="23"/>
        <v>58</v>
      </c>
      <c r="G313" s="328" t="s">
        <v>20</v>
      </c>
      <c r="H313" s="326"/>
      <c r="I313" s="316">
        <f t="shared" si="26"/>
        <v>7</v>
      </c>
    </row>
    <row r="314" s="291" customFormat="1" ht="42" customHeight="1" spans="1:9">
      <c r="A314" s="310">
        <v>2080999</v>
      </c>
      <c r="B314" s="321" t="s">
        <v>335</v>
      </c>
      <c r="C314" s="322">
        <v>2952</v>
      </c>
      <c r="D314" s="323"/>
      <c r="E314" s="322">
        <v>3122.1</v>
      </c>
      <c r="F314" s="324">
        <f t="shared" si="23"/>
        <v>3122.1</v>
      </c>
      <c r="G314" s="325">
        <f t="shared" si="24"/>
        <v>0.0576219512195122</v>
      </c>
      <c r="H314" s="326"/>
      <c r="I314" s="316">
        <f t="shared" si="26"/>
        <v>7</v>
      </c>
    </row>
    <row r="315" s="291" customFormat="1" ht="24.95" customHeight="1" spans="1:9">
      <c r="A315" s="310">
        <v>20810</v>
      </c>
      <c r="B315" s="317" t="s">
        <v>337</v>
      </c>
      <c r="C315" s="318">
        <f>SUM(C316:C319)</f>
        <v>9282</v>
      </c>
      <c r="D315" s="318"/>
      <c r="E315" s="318">
        <f>SUM(E316:E319)</f>
        <v>10670.65</v>
      </c>
      <c r="F315" s="319">
        <f t="shared" si="23"/>
        <v>10670.65</v>
      </c>
      <c r="G315" s="320">
        <f t="shared" si="24"/>
        <v>0.149606765783236</v>
      </c>
      <c r="H315" s="330"/>
      <c r="I315" s="316">
        <f t="shared" si="26"/>
        <v>5</v>
      </c>
    </row>
    <row r="316" s="291" customFormat="1" ht="42" customHeight="1" spans="1:9">
      <c r="A316" s="310">
        <v>2081002</v>
      </c>
      <c r="B316" s="321" t="s">
        <v>338</v>
      </c>
      <c r="C316" s="322">
        <v>860</v>
      </c>
      <c r="D316" s="323"/>
      <c r="E316" s="322">
        <v>862.18</v>
      </c>
      <c r="F316" s="324">
        <f t="shared" si="23"/>
        <v>862.18</v>
      </c>
      <c r="G316" s="325">
        <f t="shared" si="24"/>
        <v>0.00253488372093025</v>
      </c>
      <c r="H316" s="326" t="s">
        <v>1007</v>
      </c>
      <c r="I316" s="316">
        <f t="shared" si="26"/>
        <v>7</v>
      </c>
    </row>
    <row r="317" s="291" customFormat="1" ht="24.95" customHeight="1" spans="1:9">
      <c r="A317" s="310">
        <v>2081004</v>
      </c>
      <c r="B317" s="321" t="s">
        <v>339</v>
      </c>
      <c r="C317" s="322">
        <v>383</v>
      </c>
      <c r="D317" s="323"/>
      <c r="E317" s="322">
        <v>339.46</v>
      </c>
      <c r="F317" s="324">
        <f t="shared" si="23"/>
        <v>339.46</v>
      </c>
      <c r="G317" s="325">
        <f t="shared" si="24"/>
        <v>-0.113681462140992</v>
      </c>
      <c r="H317" s="326"/>
      <c r="I317" s="316">
        <f t="shared" si="26"/>
        <v>7</v>
      </c>
    </row>
    <row r="318" s="291" customFormat="1" ht="24.95" customHeight="1" spans="1:9">
      <c r="A318" s="310">
        <v>2081005</v>
      </c>
      <c r="B318" s="321" t="s">
        <v>340</v>
      </c>
      <c r="C318" s="322">
        <v>4030</v>
      </c>
      <c r="D318" s="323"/>
      <c r="E318" s="322">
        <v>3880.02</v>
      </c>
      <c r="F318" s="324">
        <f t="shared" si="23"/>
        <v>3880.02</v>
      </c>
      <c r="G318" s="325">
        <f t="shared" si="24"/>
        <v>-0.0372158808933003</v>
      </c>
      <c r="H318" s="326"/>
      <c r="I318" s="316">
        <f t="shared" si="26"/>
        <v>7</v>
      </c>
    </row>
    <row r="319" s="291" customFormat="1" ht="57" customHeight="1" spans="1:9">
      <c r="A319" s="310">
        <v>2081099</v>
      </c>
      <c r="B319" s="321" t="s">
        <v>341</v>
      </c>
      <c r="C319" s="322">
        <v>4009</v>
      </c>
      <c r="D319" s="323"/>
      <c r="E319" s="322">
        <v>5588.99</v>
      </c>
      <c r="F319" s="324">
        <f t="shared" si="23"/>
        <v>5588.99</v>
      </c>
      <c r="G319" s="325">
        <f t="shared" si="24"/>
        <v>0.394110750810676</v>
      </c>
      <c r="H319" s="326" t="s">
        <v>1008</v>
      </c>
      <c r="I319" s="316">
        <f t="shared" si="26"/>
        <v>7</v>
      </c>
    </row>
    <row r="320" s="291" customFormat="1" ht="24.95" customHeight="1" spans="1:9">
      <c r="A320" s="310">
        <v>20811</v>
      </c>
      <c r="B320" s="317" t="s">
        <v>343</v>
      </c>
      <c r="C320" s="318">
        <f>SUM(C321:C326)</f>
        <v>14246</v>
      </c>
      <c r="D320" s="318">
        <f>D326</f>
        <v>3</v>
      </c>
      <c r="E320" s="318">
        <f>SUM(E321:E326)</f>
        <v>15595.92</v>
      </c>
      <c r="F320" s="319">
        <f t="shared" si="23"/>
        <v>15598.92</v>
      </c>
      <c r="G320" s="320">
        <f t="shared" si="24"/>
        <v>0.0949684121858767</v>
      </c>
      <c r="H320" s="330"/>
      <c r="I320" s="316">
        <f t="shared" si="26"/>
        <v>5</v>
      </c>
    </row>
    <row r="321" s="291" customFormat="1" ht="24.95" customHeight="1" spans="1:9">
      <c r="A321" s="310">
        <v>2081101</v>
      </c>
      <c r="B321" s="321" t="s">
        <v>49</v>
      </c>
      <c r="C321" s="322">
        <v>1464</v>
      </c>
      <c r="D321" s="323"/>
      <c r="E321" s="322">
        <v>1889.82</v>
      </c>
      <c r="F321" s="324">
        <f t="shared" si="23"/>
        <v>1889.82</v>
      </c>
      <c r="G321" s="325">
        <f t="shared" si="24"/>
        <v>0.290860655737705</v>
      </c>
      <c r="H321" s="326"/>
      <c r="I321" s="316">
        <f t="shared" si="26"/>
        <v>7</v>
      </c>
    </row>
    <row r="322" s="291" customFormat="1" ht="24.95" customHeight="1" spans="1:9">
      <c r="A322" s="310">
        <v>2081102</v>
      </c>
      <c r="B322" s="321" t="s">
        <v>50</v>
      </c>
      <c r="C322" s="322">
        <v>110</v>
      </c>
      <c r="D322" s="323"/>
      <c r="E322" s="322">
        <v>49.78</v>
      </c>
      <c r="F322" s="324">
        <f t="shared" si="23"/>
        <v>49.78</v>
      </c>
      <c r="G322" s="325">
        <f t="shared" si="24"/>
        <v>-0.547454545454545</v>
      </c>
      <c r="H322" s="326"/>
      <c r="I322" s="316">
        <f t="shared" si="26"/>
        <v>7</v>
      </c>
    </row>
    <row r="323" s="291" customFormat="1" ht="24.95" customHeight="1" spans="1:9">
      <c r="A323" s="310">
        <v>2081104</v>
      </c>
      <c r="B323" s="321" t="s">
        <v>344</v>
      </c>
      <c r="C323" s="322">
        <v>1044</v>
      </c>
      <c r="D323" s="323"/>
      <c r="E323" s="322">
        <v>1090.12</v>
      </c>
      <c r="F323" s="324">
        <f t="shared" si="23"/>
        <v>1090.12</v>
      </c>
      <c r="G323" s="325">
        <f t="shared" si="24"/>
        <v>0.0441762452107279</v>
      </c>
      <c r="H323" s="326"/>
      <c r="I323" s="316">
        <f t="shared" si="26"/>
        <v>7</v>
      </c>
    </row>
    <row r="324" s="291" customFormat="1" ht="48" customHeight="1" spans="1:9">
      <c r="A324" s="310">
        <v>2081105</v>
      </c>
      <c r="B324" s="321" t="s">
        <v>345</v>
      </c>
      <c r="C324" s="322">
        <v>1258</v>
      </c>
      <c r="D324" s="323"/>
      <c r="E324" s="322">
        <v>866.94</v>
      </c>
      <c r="F324" s="324">
        <f t="shared" si="23"/>
        <v>866.94</v>
      </c>
      <c r="G324" s="325">
        <f t="shared" si="24"/>
        <v>-0.310858505564388</v>
      </c>
      <c r="H324" s="326" t="s">
        <v>1009</v>
      </c>
      <c r="I324" s="316">
        <f t="shared" si="26"/>
        <v>7</v>
      </c>
    </row>
    <row r="325" s="291" customFormat="1" ht="35.25" customHeight="1" spans="1:9">
      <c r="A325" s="310">
        <v>2081106</v>
      </c>
      <c r="B325" s="321" t="s">
        <v>346</v>
      </c>
      <c r="C325" s="322">
        <v>56</v>
      </c>
      <c r="D325" s="323"/>
      <c r="E325" s="322">
        <v>86</v>
      </c>
      <c r="F325" s="324">
        <f t="shared" si="23"/>
        <v>86</v>
      </c>
      <c r="G325" s="325">
        <f t="shared" si="24"/>
        <v>0.535714285714286</v>
      </c>
      <c r="H325" s="326" t="s">
        <v>1010</v>
      </c>
      <c r="I325" s="316">
        <f t="shared" si="26"/>
        <v>7</v>
      </c>
    </row>
    <row r="326" s="291" customFormat="1" ht="35.25" customHeight="1" spans="1:9">
      <c r="A326" s="310">
        <v>2081199</v>
      </c>
      <c r="B326" s="321" t="s">
        <v>347</v>
      </c>
      <c r="C326" s="322">
        <v>10314</v>
      </c>
      <c r="D326" s="323">
        <v>3</v>
      </c>
      <c r="E326" s="322">
        <v>11613.26</v>
      </c>
      <c r="F326" s="324">
        <f t="shared" si="23"/>
        <v>11616.26</v>
      </c>
      <c r="G326" s="325">
        <f t="shared" ref="G326:G389" si="27">F326/C326-1</f>
        <v>0.126261392282335</v>
      </c>
      <c r="H326" s="326"/>
      <c r="I326" s="316">
        <f t="shared" si="26"/>
        <v>7</v>
      </c>
    </row>
    <row r="327" s="291" customFormat="1" ht="24.95" customHeight="1" spans="1:9">
      <c r="A327" s="310">
        <v>20815</v>
      </c>
      <c r="B327" s="332" t="s">
        <v>349</v>
      </c>
      <c r="C327" s="318"/>
      <c r="D327" s="318"/>
      <c r="E327" s="318"/>
      <c r="F327" s="319"/>
      <c r="G327" s="333"/>
      <c r="H327" s="330"/>
      <c r="I327" s="316">
        <f t="shared" si="26"/>
        <v>5</v>
      </c>
    </row>
    <row r="328" s="291" customFormat="1" ht="24.95" customHeight="1" spans="1:9">
      <c r="A328" s="310">
        <v>2081502</v>
      </c>
      <c r="B328" s="327" t="s">
        <v>350</v>
      </c>
      <c r="C328" s="322"/>
      <c r="D328" s="323"/>
      <c r="E328" s="322"/>
      <c r="F328" s="324"/>
      <c r="G328" s="328"/>
      <c r="H328" s="326"/>
      <c r="I328" s="316">
        <f t="shared" si="26"/>
        <v>7</v>
      </c>
    </row>
    <row r="329" s="291" customFormat="1" ht="24.95" customHeight="1" spans="1:9">
      <c r="A329" s="310">
        <v>2081599</v>
      </c>
      <c r="B329" s="327" t="s">
        <v>351</v>
      </c>
      <c r="C329" s="322"/>
      <c r="D329" s="323"/>
      <c r="E329" s="322"/>
      <c r="F329" s="324"/>
      <c r="G329" s="328"/>
      <c r="H329" s="326"/>
      <c r="I329" s="316">
        <f t="shared" si="26"/>
        <v>7</v>
      </c>
    </row>
    <row r="330" s="291" customFormat="1" ht="24.95" customHeight="1" spans="1:9">
      <c r="A330" s="310">
        <v>20819</v>
      </c>
      <c r="B330" s="317" t="s">
        <v>352</v>
      </c>
      <c r="C330" s="318">
        <f>C331</f>
        <v>409</v>
      </c>
      <c r="D330" s="318"/>
      <c r="E330" s="318">
        <f t="shared" ref="E330:E334" si="28">E331</f>
        <v>338.22</v>
      </c>
      <c r="F330" s="319">
        <f t="shared" ref="F330:F392" si="29">D330+E330</f>
        <v>338.22</v>
      </c>
      <c r="G330" s="320">
        <f t="shared" si="27"/>
        <v>-0.173056234718826</v>
      </c>
      <c r="H330" s="330"/>
      <c r="I330" s="316">
        <f t="shared" si="26"/>
        <v>5</v>
      </c>
    </row>
    <row r="331" s="291" customFormat="1" ht="24.95" customHeight="1" spans="1:9">
      <c r="A331" s="310">
        <v>2081901</v>
      </c>
      <c r="B331" s="321" t="s">
        <v>353</v>
      </c>
      <c r="C331" s="322">
        <v>409</v>
      </c>
      <c r="D331" s="323"/>
      <c r="E331" s="322">
        <v>338.22</v>
      </c>
      <c r="F331" s="324">
        <f t="shared" si="29"/>
        <v>338.22</v>
      </c>
      <c r="G331" s="325">
        <f t="shared" si="27"/>
        <v>-0.173056234718826</v>
      </c>
      <c r="H331" s="326"/>
      <c r="I331" s="316">
        <f t="shared" si="26"/>
        <v>7</v>
      </c>
    </row>
    <row r="332" s="291" customFormat="1" ht="24.95" customHeight="1" spans="1:9">
      <c r="A332" s="310">
        <v>20820</v>
      </c>
      <c r="B332" s="317" t="s">
        <v>354</v>
      </c>
      <c r="C332" s="318">
        <f>C333</f>
        <v>2021</v>
      </c>
      <c r="D332" s="318"/>
      <c r="E332" s="318">
        <f t="shared" si="28"/>
        <v>1943.07</v>
      </c>
      <c r="F332" s="319">
        <f t="shared" si="29"/>
        <v>1943.07</v>
      </c>
      <c r="G332" s="320">
        <f t="shared" si="27"/>
        <v>-0.0385601187530925</v>
      </c>
      <c r="H332" s="330"/>
      <c r="I332" s="316">
        <f t="shared" si="26"/>
        <v>5</v>
      </c>
    </row>
    <row r="333" s="291" customFormat="1" ht="36.75" customHeight="1" spans="1:9">
      <c r="A333" s="310">
        <v>2082002</v>
      </c>
      <c r="B333" s="321" t="s">
        <v>355</v>
      </c>
      <c r="C333" s="322">
        <v>2021</v>
      </c>
      <c r="D333" s="323"/>
      <c r="E333" s="322">
        <v>1943.07</v>
      </c>
      <c r="F333" s="324">
        <f t="shared" si="29"/>
        <v>1943.07</v>
      </c>
      <c r="G333" s="325">
        <f t="shared" si="27"/>
        <v>-0.0385601187530925</v>
      </c>
      <c r="H333" s="326" t="s">
        <v>1011</v>
      </c>
      <c r="I333" s="316">
        <f t="shared" si="26"/>
        <v>7</v>
      </c>
    </row>
    <row r="334" s="291" customFormat="1" ht="24.95" customHeight="1" spans="1:9">
      <c r="A334" s="310">
        <v>20825</v>
      </c>
      <c r="B334" s="317" t="s">
        <v>356</v>
      </c>
      <c r="C334" s="318">
        <v>30</v>
      </c>
      <c r="D334" s="318"/>
      <c r="E334" s="318">
        <f t="shared" si="28"/>
        <v>6</v>
      </c>
      <c r="F334" s="319">
        <f t="shared" si="29"/>
        <v>6</v>
      </c>
      <c r="G334" s="320">
        <f t="shared" si="27"/>
        <v>-0.8</v>
      </c>
      <c r="H334" s="330"/>
      <c r="I334" s="316">
        <f t="shared" si="26"/>
        <v>5</v>
      </c>
    </row>
    <row r="335" s="291" customFormat="1" ht="42" customHeight="1" spans="1:9">
      <c r="A335" s="310">
        <v>2082501</v>
      </c>
      <c r="B335" s="321" t="s">
        <v>357</v>
      </c>
      <c r="C335" s="322">
        <v>30</v>
      </c>
      <c r="D335" s="323"/>
      <c r="E335" s="322">
        <v>6</v>
      </c>
      <c r="F335" s="324">
        <f t="shared" si="29"/>
        <v>6</v>
      </c>
      <c r="G335" s="325">
        <f t="shared" si="27"/>
        <v>-0.8</v>
      </c>
      <c r="H335" s="326" t="s">
        <v>1012</v>
      </c>
      <c r="I335" s="316">
        <f t="shared" si="26"/>
        <v>7</v>
      </c>
    </row>
    <row r="336" s="291" customFormat="1" ht="24.95" customHeight="1" spans="1:9">
      <c r="A336" s="310">
        <v>20828</v>
      </c>
      <c r="B336" s="343" t="s">
        <v>1013</v>
      </c>
      <c r="C336" s="318">
        <v>0</v>
      </c>
      <c r="D336" s="318"/>
      <c r="E336" s="318">
        <f>SUM(E337:E339)</f>
        <v>1610.3</v>
      </c>
      <c r="F336" s="319">
        <f t="shared" si="29"/>
        <v>1610.3</v>
      </c>
      <c r="G336" s="333" t="s">
        <v>20</v>
      </c>
      <c r="H336" s="330"/>
      <c r="I336" s="316">
        <v>5</v>
      </c>
    </row>
    <row r="337" s="291" customFormat="1" ht="24.95" customHeight="1" spans="1:9">
      <c r="A337" s="310">
        <v>2082801</v>
      </c>
      <c r="B337" s="329" t="s">
        <v>49</v>
      </c>
      <c r="C337" s="322">
        <v>0</v>
      </c>
      <c r="D337" s="323"/>
      <c r="E337" s="322">
        <v>535.91</v>
      </c>
      <c r="F337" s="324">
        <f t="shared" si="29"/>
        <v>535.91</v>
      </c>
      <c r="G337" s="328" t="s">
        <v>20</v>
      </c>
      <c r="H337" s="326"/>
      <c r="I337" s="316">
        <v>7</v>
      </c>
    </row>
    <row r="338" s="291" customFormat="1" ht="24.95" customHeight="1" spans="1:9">
      <c r="A338" s="310">
        <v>2082804</v>
      </c>
      <c r="B338" s="329" t="s">
        <v>300</v>
      </c>
      <c r="C338" s="322">
        <v>0</v>
      </c>
      <c r="D338" s="323"/>
      <c r="E338" s="322">
        <v>300.39</v>
      </c>
      <c r="F338" s="324">
        <f t="shared" si="29"/>
        <v>300.39</v>
      </c>
      <c r="G338" s="328" t="s">
        <v>20</v>
      </c>
      <c r="H338" s="326"/>
      <c r="I338" s="316">
        <v>7</v>
      </c>
    </row>
    <row r="339" s="291" customFormat="1" ht="66.75" customHeight="1" spans="1:9">
      <c r="A339" s="310">
        <v>2082899</v>
      </c>
      <c r="B339" s="329" t="s">
        <v>1014</v>
      </c>
      <c r="C339" s="322">
        <v>0</v>
      </c>
      <c r="D339" s="323"/>
      <c r="E339" s="322">
        <v>774</v>
      </c>
      <c r="F339" s="324">
        <f t="shared" si="29"/>
        <v>774</v>
      </c>
      <c r="G339" s="328" t="s">
        <v>20</v>
      </c>
      <c r="H339" s="326" t="s">
        <v>1004</v>
      </c>
      <c r="I339" s="316">
        <v>7</v>
      </c>
    </row>
    <row r="340" s="291" customFormat="1" ht="50.1" customHeight="1" spans="1:9">
      <c r="A340" s="310">
        <v>20899</v>
      </c>
      <c r="B340" s="317" t="s">
        <v>1015</v>
      </c>
      <c r="C340" s="318">
        <f>C341</f>
        <v>26384</v>
      </c>
      <c r="D340" s="318"/>
      <c r="E340" s="318">
        <f>E341</f>
        <v>28468</v>
      </c>
      <c r="F340" s="319">
        <f t="shared" si="29"/>
        <v>28468</v>
      </c>
      <c r="G340" s="320">
        <f t="shared" si="27"/>
        <v>0.0789872650090964</v>
      </c>
      <c r="H340" s="330"/>
      <c r="I340" s="316">
        <f t="shared" ref="I340:I380" si="30">LEN(A340)</f>
        <v>5</v>
      </c>
    </row>
    <row r="341" s="291" customFormat="1" ht="42.75" customHeight="1" spans="1:9">
      <c r="A341" s="310">
        <v>2089901</v>
      </c>
      <c r="B341" s="321" t="s">
        <v>360</v>
      </c>
      <c r="C341" s="322">
        <v>26384</v>
      </c>
      <c r="D341" s="323"/>
      <c r="E341" s="322">
        <v>28468</v>
      </c>
      <c r="F341" s="324">
        <f t="shared" si="29"/>
        <v>28468</v>
      </c>
      <c r="G341" s="325">
        <f t="shared" si="27"/>
        <v>0.0789872650090964</v>
      </c>
      <c r="H341" s="326" t="s">
        <v>1016</v>
      </c>
      <c r="I341" s="316">
        <f t="shared" si="30"/>
        <v>7</v>
      </c>
    </row>
    <row r="342" s="291" customFormat="1" ht="24.95" customHeight="1" spans="1:9">
      <c r="A342" s="310">
        <v>210</v>
      </c>
      <c r="B342" s="311" t="s">
        <v>362</v>
      </c>
      <c r="C342" s="312">
        <f>C343+C347+C353+C356+C366+C368+C371+C375+C379+C381+C383</f>
        <v>374296</v>
      </c>
      <c r="D342" s="313">
        <f>D343+D347+D353+D356+D366+D368+D371+D375+D379+D381+D383</f>
        <v>41097.8</v>
      </c>
      <c r="E342" s="313">
        <f>E343+E347+E353+E356+E366+E368+E371+E375+E379+E381+E383</f>
        <v>301296.77</v>
      </c>
      <c r="F342" s="314">
        <f t="shared" si="29"/>
        <v>342394.57</v>
      </c>
      <c r="G342" s="315">
        <f t="shared" si="27"/>
        <v>-0.0852304860324449</v>
      </c>
      <c r="H342" s="312"/>
      <c r="I342" s="316">
        <f t="shared" si="30"/>
        <v>3</v>
      </c>
    </row>
    <row r="343" s="291" customFormat="1" ht="24.95" customHeight="1" spans="1:9">
      <c r="A343" s="310">
        <v>21001</v>
      </c>
      <c r="B343" s="317" t="s">
        <v>363</v>
      </c>
      <c r="C343" s="318">
        <f>SUM(C344:C346)</f>
        <v>6755</v>
      </c>
      <c r="D343" s="318"/>
      <c r="E343" s="318">
        <f>SUM(E344:E346)</f>
        <v>5740.11</v>
      </c>
      <c r="F343" s="319">
        <f t="shared" si="29"/>
        <v>5740.11</v>
      </c>
      <c r="G343" s="320">
        <f t="shared" si="27"/>
        <v>-0.150242783123612</v>
      </c>
      <c r="H343" s="330"/>
      <c r="I343" s="316">
        <f t="shared" si="30"/>
        <v>5</v>
      </c>
    </row>
    <row r="344" s="291" customFormat="1" ht="47.25" customHeight="1" spans="1:9">
      <c r="A344" s="310">
        <v>2100101</v>
      </c>
      <c r="B344" s="321" t="s">
        <v>49</v>
      </c>
      <c r="C344" s="322">
        <v>4212</v>
      </c>
      <c r="D344" s="323"/>
      <c r="E344" s="322">
        <v>4331</v>
      </c>
      <c r="F344" s="324">
        <f t="shared" si="29"/>
        <v>4331</v>
      </c>
      <c r="G344" s="325">
        <f t="shared" si="27"/>
        <v>0.0282526115859449</v>
      </c>
      <c r="H344" s="326"/>
      <c r="I344" s="316">
        <f t="shared" si="30"/>
        <v>7</v>
      </c>
    </row>
    <row r="345" s="291" customFormat="1" ht="41.1" customHeight="1" spans="1:9">
      <c r="A345" s="310">
        <v>2100102</v>
      </c>
      <c r="B345" s="321" t="s">
        <v>50</v>
      </c>
      <c r="C345" s="322">
        <v>545</v>
      </c>
      <c r="D345" s="323"/>
      <c r="E345" s="322">
        <v>202.36</v>
      </c>
      <c r="F345" s="324">
        <f t="shared" si="29"/>
        <v>202.36</v>
      </c>
      <c r="G345" s="325">
        <f t="shared" si="27"/>
        <v>-0.628697247706422</v>
      </c>
      <c r="H345" s="326" t="s">
        <v>931</v>
      </c>
      <c r="I345" s="316">
        <f t="shared" si="30"/>
        <v>7</v>
      </c>
    </row>
    <row r="346" s="291" customFormat="1" ht="42" customHeight="1" spans="1:9">
      <c r="A346" s="310">
        <v>2100199</v>
      </c>
      <c r="B346" s="321" t="s">
        <v>365</v>
      </c>
      <c r="C346" s="322">
        <v>1998</v>
      </c>
      <c r="D346" s="323"/>
      <c r="E346" s="322">
        <v>1206.75</v>
      </c>
      <c r="F346" s="324">
        <f t="shared" si="29"/>
        <v>1206.75</v>
      </c>
      <c r="G346" s="325">
        <f t="shared" si="27"/>
        <v>-0.396021021021021</v>
      </c>
      <c r="H346" s="326" t="s">
        <v>1017</v>
      </c>
      <c r="I346" s="316">
        <f t="shared" si="30"/>
        <v>7</v>
      </c>
    </row>
    <row r="347" s="291" customFormat="1" ht="24.95" customHeight="1" spans="1:9">
      <c r="A347" s="310">
        <v>21002</v>
      </c>
      <c r="B347" s="317" t="s">
        <v>366</v>
      </c>
      <c r="C347" s="318">
        <f>SUM(C348:C352)</f>
        <v>233795</v>
      </c>
      <c r="D347" s="318">
        <f>D352</f>
        <v>40270</v>
      </c>
      <c r="E347" s="318">
        <f>SUM(E348:E352)</f>
        <v>154424.84</v>
      </c>
      <c r="F347" s="319">
        <f t="shared" si="29"/>
        <v>194694.84</v>
      </c>
      <c r="G347" s="320">
        <f t="shared" si="27"/>
        <v>-0.167241215594859</v>
      </c>
      <c r="H347" s="330"/>
      <c r="I347" s="316">
        <f t="shared" si="30"/>
        <v>5</v>
      </c>
    </row>
    <row r="348" s="291" customFormat="1" ht="34.5" customHeight="1" spans="1:9">
      <c r="A348" s="310">
        <v>2100201</v>
      </c>
      <c r="B348" s="321" t="s">
        <v>367</v>
      </c>
      <c r="C348" s="322">
        <v>103849</v>
      </c>
      <c r="D348" s="323"/>
      <c r="E348" s="322">
        <v>95785</v>
      </c>
      <c r="F348" s="324">
        <f t="shared" si="29"/>
        <v>95785</v>
      </c>
      <c r="G348" s="325">
        <f t="shared" si="27"/>
        <v>-0.077651205115119</v>
      </c>
      <c r="H348" s="326"/>
      <c r="I348" s="316">
        <f t="shared" si="30"/>
        <v>7</v>
      </c>
    </row>
    <row r="349" s="291" customFormat="1" ht="63.75" customHeight="1" spans="1:9">
      <c r="A349" s="310">
        <v>2100202</v>
      </c>
      <c r="B349" s="321" t="s">
        <v>369</v>
      </c>
      <c r="C349" s="322">
        <v>12486</v>
      </c>
      <c r="D349" s="323"/>
      <c r="E349" s="322">
        <v>9731.26</v>
      </c>
      <c r="F349" s="324">
        <f t="shared" si="29"/>
        <v>9731.26</v>
      </c>
      <c r="G349" s="325">
        <f t="shared" si="27"/>
        <v>-0.220626301457633</v>
      </c>
      <c r="H349" s="326" t="s">
        <v>1018</v>
      </c>
      <c r="I349" s="316">
        <f t="shared" si="30"/>
        <v>7</v>
      </c>
    </row>
    <row r="350" s="291" customFormat="1" ht="60" customHeight="1" spans="1:9">
      <c r="A350" s="310">
        <v>2100208</v>
      </c>
      <c r="B350" s="321" t="s">
        <v>370</v>
      </c>
      <c r="C350" s="322">
        <v>9135</v>
      </c>
      <c r="D350" s="323"/>
      <c r="E350" s="322">
        <v>8608.58</v>
      </c>
      <c r="F350" s="324">
        <f t="shared" si="29"/>
        <v>8608.58</v>
      </c>
      <c r="G350" s="325">
        <f t="shared" si="27"/>
        <v>-0.0576267104542967</v>
      </c>
      <c r="H350" s="326" t="s">
        <v>1018</v>
      </c>
      <c r="I350" s="316">
        <f t="shared" si="30"/>
        <v>7</v>
      </c>
    </row>
    <row r="351" s="291" customFormat="1" ht="24.95" customHeight="1" spans="1:9">
      <c r="A351" s="310">
        <v>2100211</v>
      </c>
      <c r="B351" s="321" t="s">
        <v>371</v>
      </c>
      <c r="C351" s="322"/>
      <c r="D351" s="323"/>
      <c r="E351" s="322">
        <v>300</v>
      </c>
      <c r="F351" s="324">
        <f t="shared" si="29"/>
        <v>300</v>
      </c>
      <c r="G351" s="328" t="s">
        <v>20</v>
      </c>
      <c r="H351" s="326"/>
      <c r="I351" s="316">
        <f t="shared" si="30"/>
        <v>7</v>
      </c>
    </row>
    <row r="352" s="291" customFormat="1" ht="24.95" customHeight="1" spans="1:9">
      <c r="A352" s="310">
        <v>2100299</v>
      </c>
      <c r="B352" s="327" t="s">
        <v>373</v>
      </c>
      <c r="C352" s="322">
        <v>108325</v>
      </c>
      <c r="D352" s="323">
        <v>40270</v>
      </c>
      <c r="E352" s="322">
        <v>40000</v>
      </c>
      <c r="F352" s="324">
        <f t="shared" si="29"/>
        <v>80270</v>
      </c>
      <c r="G352" s="325">
        <f t="shared" si="27"/>
        <v>-0.25898915301177</v>
      </c>
      <c r="H352" s="326"/>
      <c r="I352" s="316">
        <f t="shared" si="30"/>
        <v>7</v>
      </c>
    </row>
    <row r="353" s="291" customFormat="1" ht="24.95" customHeight="1" spans="1:9">
      <c r="A353" s="310">
        <v>21003</v>
      </c>
      <c r="B353" s="317" t="s">
        <v>375</v>
      </c>
      <c r="C353" s="318">
        <f>SUM(C354:C355)</f>
        <v>4524</v>
      </c>
      <c r="D353" s="318">
        <f>D355</f>
        <v>222.84</v>
      </c>
      <c r="E353" s="318">
        <v>4256.64</v>
      </c>
      <c r="F353" s="319">
        <f t="shared" si="29"/>
        <v>4479.48</v>
      </c>
      <c r="G353" s="320">
        <f t="shared" si="27"/>
        <v>-0.00984084880636593</v>
      </c>
      <c r="H353" s="330"/>
      <c r="I353" s="316">
        <f t="shared" si="30"/>
        <v>5</v>
      </c>
    </row>
    <row r="354" s="291" customFormat="1" ht="25.5" customHeight="1" spans="1:9">
      <c r="A354" s="310">
        <v>2100301</v>
      </c>
      <c r="B354" s="321" t="s">
        <v>376</v>
      </c>
      <c r="C354" s="322">
        <v>4499</v>
      </c>
      <c r="D354" s="323"/>
      <c r="E354" s="322">
        <v>4256.64</v>
      </c>
      <c r="F354" s="324">
        <f t="shared" si="29"/>
        <v>4256.64</v>
      </c>
      <c r="G354" s="325">
        <f t="shared" si="27"/>
        <v>-0.0538697488330739</v>
      </c>
      <c r="H354" s="326"/>
      <c r="I354" s="316">
        <f t="shared" si="30"/>
        <v>7</v>
      </c>
    </row>
    <row r="355" s="291" customFormat="1" ht="51.95" customHeight="1" spans="1:9">
      <c r="A355" s="310">
        <v>2100399</v>
      </c>
      <c r="B355" s="321" t="s">
        <v>377</v>
      </c>
      <c r="C355" s="322">
        <v>25</v>
      </c>
      <c r="D355" s="323">
        <v>222.84</v>
      </c>
      <c r="E355" s="322"/>
      <c r="F355" s="324">
        <f t="shared" si="29"/>
        <v>222.84</v>
      </c>
      <c r="G355" s="325">
        <f t="shared" si="27"/>
        <v>7.9136</v>
      </c>
      <c r="H355" s="326" t="s">
        <v>1019</v>
      </c>
      <c r="I355" s="316">
        <f t="shared" si="30"/>
        <v>7</v>
      </c>
    </row>
    <row r="356" s="291" customFormat="1" ht="24.95" customHeight="1" spans="1:9">
      <c r="A356" s="310">
        <v>21004</v>
      </c>
      <c r="B356" s="317" t="s">
        <v>379</v>
      </c>
      <c r="C356" s="318">
        <f>SUM(C357:C365)</f>
        <v>95928</v>
      </c>
      <c r="D356" s="318">
        <f>D362+D363</f>
        <v>604.96</v>
      </c>
      <c r="E356" s="318">
        <f>SUM(E357:E365)</f>
        <v>105400.19</v>
      </c>
      <c r="F356" s="319">
        <f t="shared" si="29"/>
        <v>106005.15</v>
      </c>
      <c r="G356" s="320">
        <f t="shared" si="27"/>
        <v>0.105049099324494</v>
      </c>
      <c r="H356" s="330"/>
      <c r="I356" s="316">
        <f t="shared" si="30"/>
        <v>5</v>
      </c>
    </row>
    <row r="357" s="291" customFormat="1" ht="112.5" customHeight="1" spans="1:9">
      <c r="A357" s="310">
        <v>2100401</v>
      </c>
      <c r="B357" s="321" t="s">
        <v>380</v>
      </c>
      <c r="C357" s="322">
        <v>30990</v>
      </c>
      <c r="D357" s="323"/>
      <c r="E357" s="322">
        <v>17527.02</v>
      </c>
      <c r="F357" s="324">
        <f t="shared" si="29"/>
        <v>17527.02</v>
      </c>
      <c r="G357" s="325">
        <f t="shared" si="27"/>
        <v>-0.4344298160697</v>
      </c>
      <c r="H357" s="326" t="s">
        <v>1020</v>
      </c>
      <c r="I357" s="316">
        <f t="shared" si="30"/>
        <v>7</v>
      </c>
    </row>
    <row r="358" s="291" customFormat="1" ht="44.25" customHeight="1" spans="1:9">
      <c r="A358" s="310">
        <v>2100402</v>
      </c>
      <c r="B358" s="321" t="s">
        <v>382</v>
      </c>
      <c r="C358" s="322">
        <v>17731</v>
      </c>
      <c r="D358" s="323"/>
      <c r="E358" s="322">
        <v>17092.28</v>
      </c>
      <c r="F358" s="324">
        <f t="shared" si="29"/>
        <v>17092.28</v>
      </c>
      <c r="G358" s="325">
        <f t="shared" si="27"/>
        <v>-0.0360227849529074</v>
      </c>
      <c r="H358" s="326" t="s">
        <v>1021</v>
      </c>
      <c r="I358" s="316">
        <f t="shared" si="30"/>
        <v>7</v>
      </c>
    </row>
    <row r="359" s="291" customFormat="1" ht="36.75" customHeight="1" spans="1:9">
      <c r="A359" s="310">
        <v>2100403</v>
      </c>
      <c r="B359" s="321" t="s">
        <v>384</v>
      </c>
      <c r="C359" s="322">
        <v>16649</v>
      </c>
      <c r="D359" s="323"/>
      <c r="E359" s="322">
        <v>17079.03</v>
      </c>
      <c r="F359" s="324">
        <f t="shared" si="29"/>
        <v>17079.03</v>
      </c>
      <c r="G359" s="325">
        <f t="shared" si="27"/>
        <v>0.0258291789296654</v>
      </c>
      <c r="H359" s="326"/>
      <c r="I359" s="316">
        <f t="shared" si="30"/>
        <v>7</v>
      </c>
    </row>
    <row r="360" s="291" customFormat="1" ht="33" customHeight="1" spans="1:9">
      <c r="A360" s="310">
        <v>2100406</v>
      </c>
      <c r="B360" s="321" t="s">
        <v>385</v>
      </c>
      <c r="C360" s="322">
        <v>2896</v>
      </c>
      <c r="D360" s="323"/>
      <c r="E360" s="322">
        <v>3067.82</v>
      </c>
      <c r="F360" s="324">
        <f t="shared" si="29"/>
        <v>3067.82</v>
      </c>
      <c r="G360" s="325">
        <f t="shared" si="27"/>
        <v>0.0593301104972377</v>
      </c>
      <c r="H360" s="326" t="s">
        <v>1022</v>
      </c>
      <c r="I360" s="316">
        <f t="shared" si="30"/>
        <v>7</v>
      </c>
    </row>
    <row r="361" s="291" customFormat="1" ht="24.95" customHeight="1" spans="1:9">
      <c r="A361" s="310">
        <v>2100407</v>
      </c>
      <c r="B361" s="321" t="s">
        <v>386</v>
      </c>
      <c r="C361" s="322"/>
      <c r="D361" s="323"/>
      <c r="E361" s="322">
        <v>0</v>
      </c>
      <c r="F361" s="324"/>
      <c r="G361" s="328"/>
      <c r="H361" s="326"/>
      <c r="I361" s="316">
        <f t="shared" si="30"/>
        <v>7</v>
      </c>
    </row>
    <row r="362" s="291" customFormat="1" ht="98.25" customHeight="1" spans="1:9">
      <c r="A362" s="310">
        <v>2100408</v>
      </c>
      <c r="B362" s="321" t="s">
        <v>387</v>
      </c>
      <c r="C362" s="322">
        <v>21454</v>
      </c>
      <c r="D362" s="323">
        <v>80.6</v>
      </c>
      <c r="E362" s="322">
        <v>43647.55</v>
      </c>
      <c r="F362" s="324">
        <f t="shared" si="29"/>
        <v>43728.15</v>
      </c>
      <c r="G362" s="325">
        <f t="shared" si="27"/>
        <v>1.03822830241447</v>
      </c>
      <c r="H362" s="326" t="s">
        <v>1023</v>
      </c>
      <c r="I362" s="316">
        <f t="shared" si="30"/>
        <v>7</v>
      </c>
    </row>
    <row r="363" s="291" customFormat="1" ht="36" customHeight="1" spans="1:9">
      <c r="A363" s="310">
        <v>2100409</v>
      </c>
      <c r="B363" s="321" t="s">
        <v>389</v>
      </c>
      <c r="C363" s="322">
        <v>824</v>
      </c>
      <c r="D363" s="323">
        <v>524.36</v>
      </c>
      <c r="E363" s="322"/>
      <c r="F363" s="324">
        <f t="shared" si="29"/>
        <v>524.36</v>
      </c>
      <c r="G363" s="325">
        <f t="shared" si="27"/>
        <v>-0.363640776699029</v>
      </c>
      <c r="H363" s="326" t="s">
        <v>997</v>
      </c>
      <c r="I363" s="316">
        <f t="shared" si="30"/>
        <v>7</v>
      </c>
    </row>
    <row r="364" s="291" customFormat="1" ht="24.95" customHeight="1" spans="1:9">
      <c r="A364" s="310">
        <v>2100410</v>
      </c>
      <c r="B364" s="321" t="s">
        <v>391</v>
      </c>
      <c r="C364" s="322"/>
      <c r="D364" s="323"/>
      <c r="E364" s="322">
        <v>50</v>
      </c>
      <c r="F364" s="324">
        <f t="shared" si="29"/>
        <v>50</v>
      </c>
      <c r="G364" s="328" t="s">
        <v>20</v>
      </c>
      <c r="H364" s="326"/>
      <c r="I364" s="316">
        <f t="shared" si="30"/>
        <v>7</v>
      </c>
    </row>
    <row r="365" s="291" customFormat="1" ht="83.25" customHeight="1" spans="1:9">
      <c r="A365" s="310">
        <v>2100499</v>
      </c>
      <c r="B365" s="321" t="s">
        <v>393</v>
      </c>
      <c r="C365" s="322">
        <v>5384</v>
      </c>
      <c r="D365" s="323"/>
      <c r="E365" s="322">
        <v>6936.49</v>
      </c>
      <c r="F365" s="324">
        <f t="shared" si="29"/>
        <v>6936.49</v>
      </c>
      <c r="G365" s="325">
        <f t="shared" si="27"/>
        <v>0.288352526002972</v>
      </c>
      <c r="H365" s="326" t="s">
        <v>1024</v>
      </c>
      <c r="I365" s="316">
        <f t="shared" si="30"/>
        <v>7</v>
      </c>
    </row>
    <row r="366" s="291" customFormat="1" ht="24.95" customHeight="1" spans="1:9">
      <c r="A366" s="310">
        <v>21006</v>
      </c>
      <c r="B366" s="317" t="s">
        <v>394</v>
      </c>
      <c r="C366" s="318">
        <f>C367</f>
        <v>68</v>
      </c>
      <c r="D366" s="318"/>
      <c r="E366" s="318">
        <f>E367</f>
        <v>168.75</v>
      </c>
      <c r="F366" s="319">
        <f t="shared" si="29"/>
        <v>168.75</v>
      </c>
      <c r="G366" s="320">
        <f t="shared" si="27"/>
        <v>1.48161764705882</v>
      </c>
      <c r="H366" s="344"/>
      <c r="I366" s="316">
        <f t="shared" si="30"/>
        <v>5</v>
      </c>
    </row>
    <row r="367" s="291" customFormat="1" ht="26.25" customHeight="1" spans="1:9">
      <c r="A367" s="310">
        <v>2100601</v>
      </c>
      <c r="B367" s="321" t="s">
        <v>395</v>
      </c>
      <c r="C367" s="322">
        <v>68</v>
      </c>
      <c r="D367" s="323"/>
      <c r="E367" s="322">
        <v>168.75</v>
      </c>
      <c r="F367" s="324">
        <f t="shared" si="29"/>
        <v>168.75</v>
      </c>
      <c r="G367" s="325">
        <f t="shared" si="27"/>
        <v>1.48161764705882</v>
      </c>
      <c r="H367" s="326" t="s">
        <v>1025</v>
      </c>
      <c r="I367" s="316">
        <f t="shared" si="30"/>
        <v>7</v>
      </c>
    </row>
    <row r="368" s="291" customFormat="1" ht="24.95" customHeight="1" spans="1:9">
      <c r="A368" s="310">
        <v>21007</v>
      </c>
      <c r="B368" s="317" t="s">
        <v>396</v>
      </c>
      <c r="C368" s="318">
        <f>SUM(C369:C370)</f>
        <v>10444</v>
      </c>
      <c r="D368" s="318"/>
      <c r="E368" s="318">
        <f>SUM(E369:E370)</f>
        <v>8806.86</v>
      </c>
      <c r="F368" s="319">
        <f t="shared" si="29"/>
        <v>8806.86</v>
      </c>
      <c r="G368" s="320">
        <f t="shared" si="27"/>
        <v>-0.156754117196476</v>
      </c>
      <c r="H368" s="330"/>
      <c r="I368" s="316">
        <f t="shared" si="30"/>
        <v>5</v>
      </c>
    </row>
    <row r="369" s="291" customFormat="1" ht="47.25" customHeight="1" spans="1:9">
      <c r="A369" s="310">
        <v>2100717</v>
      </c>
      <c r="B369" s="321" t="s">
        <v>397</v>
      </c>
      <c r="C369" s="322">
        <v>8825</v>
      </c>
      <c r="D369" s="323"/>
      <c r="E369" s="322">
        <v>7510.4</v>
      </c>
      <c r="F369" s="324">
        <f t="shared" si="29"/>
        <v>7510.4</v>
      </c>
      <c r="G369" s="325">
        <f t="shared" si="27"/>
        <v>-0.148963172804533</v>
      </c>
      <c r="H369" s="326" t="s">
        <v>1026</v>
      </c>
      <c r="I369" s="316">
        <f t="shared" si="30"/>
        <v>7</v>
      </c>
    </row>
    <row r="370" s="291" customFormat="1" ht="36.75" customHeight="1" spans="1:9">
      <c r="A370" s="310">
        <v>2100799</v>
      </c>
      <c r="B370" s="321" t="s">
        <v>398</v>
      </c>
      <c r="C370" s="322">
        <v>1619</v>
      </c>
      <c r="D370" s="323"/>
      <c r="E370" s="322">
        <v>1296.46</v>
      </c>
      <c r="F370" s="324">
        <f t="shared" si="29"/>
        <v>1296.46</v>
      </c>
      <c r="G370" s="325">
        <f t="shared" si="27"/>
        <v>-0.199221741815936</v>
      </c>
      <c r="H370" s="326" t="s">
        <v>997</v>
      </c>
      <c r="I370" s="316">
        <f t="shared" si="30"/>
        <v>7</v>
      </c>
    </row>
    <row r="371" s="291" customFormat="1" ht="44.1" customHeight="1" spans="1:9">
      <c r="A371" s="310">
        <v>21010</v>
      </c>
      <c r="B371" s="332" t="s">
        <v>399</v>
      </c>
      <c r="C371" s="318"/>
      <c r="D371" s="318"/>
      <c r="E371" s="318"/>
      <c r="F371" s="319"/>
      <c r="G371" s="333"/>
      <c r="H371" s="330"/>
      <c r="I371" s="316">
        <f t="shared" si="30"/>
        <v>5</v>
      </c>
    </row>
    <row r="372" s="291" customFormat="1" ht="24.95" customHeight="1" spans="1:9">
      <c r="A372" s="310">
        <v>2101001</v>
      </c>
      <c r="B372" s="327" t="s">
        <v>49</v>
      </c>
      <c r="C372" s="322"/>
      <c r="D372" s="323"/>
      <c r="E372" s="322"/>
      <c r="F372" s="324"/>
      <c r="G372" s="328"/>
      <c r="H372" s="326"/>
      <c r="I372" s="316">
        <f t="shared" si="30"/>
        <v>7</v>
      </c>
    </row>
    <row r="373" s="291" customFormat="1" ht="24.95" customHeight="1" spans="1:9">
      <c r="A373" s="310">
        <v>2101016</v>
      </c>
      <c r="B373" s="327" t="s">
        <v>400</v>
      </c>
      <c r="C373" s="322"/>
      <c r="D373" s="323"/>
      <c r="E373" s="322"/>
      <c r="F373" s="324"/>
      <c r="G373" s="328"/>
      <c r="H373" s="326"/>
      <c r="I373" s="316">
        <f t="shared" si="30"/>
        <v>7</v>
      </c>
    </row>
    <row r="374" s="291" customFormat="1" ht="56.1" customHeight="1" spans="1:9">
      <c r="A374" s="310">
        <v>2101099</v>
      </c>
      <c r="B374" s="327" t="s">
        <v>401</v>
      </c>
      <c r="C374" s="322"/>
      <c r="D374" s="323"/>
      <c r="E374" s="322"/>
      <c r="F374" s="324"/>
      <c r="G374" s="328"/>
      <c r="H374" s="326"/>
      <c r="I374" s="316">
        <f t="shared" si="30"/>
        <v>7</v>
      </c>
    </row>
    <row r="375" s="291" customFormat="1" ht="24.95" customHeight="1" spans="1:9">
      <c r="A375" s="310">
        <v>21011</v>
      </c>
      <c r="B375" s="317" t="s">
        <v>402</v>
      </c>
      <c r="C375" s="318">
        <f>SUM(C376:C378)</f>
        <v>21785</v>
      </c>
      <c r="D375" s="318"/>
      <c r="E375" s="318">
        <f>SUM(E376:E378)</f>
        <v>21687.73</v>
      </c>
      <c r="F375" s="319">
        <f t="shared" si="29"/>
        <v>21687.73</v>
      </c>
      <c r="G375" s="320">
        <f t="shared" si="27"/>
        <v>-0.00446499885242146</v>
      </c>
      <c r="H375" s="330"/>
      <c r="I375" s="316">
        <f t="shared" si="30"/>
        <v>5</v>
      </c>
    </row>
    <row r="376" s="291" customFormat="1" ht="24.95" customHeight="1" spans="1:9">
      <c r="A376" s="310">
        <v>2101101</v>
      </c>
      <c r="B376" s="321" t="s">
        <v>403</v>
      </c>
      <c r="C376" s="322">
        <v>7448</v>
      </c>
      <c r="D376" s="323"/>
      <c r="E376" s="322">
        <v>6342.37</v>
      </c>
      <c r="F376" s="324">
        <f t="shared" si="29"/>
        <v>6342.37</v>
      </c>
      <c r="G376" s="325">
        <f t="shared" si="27"/>
        <v>-0.148446562835661</v>
      </c>
      <c r="H376" s="326"/>
      <c r="I376" s="316">
        <f t="shared" si="30"/>
        <v>7</v>
      </c>
    </row>
    <row r="377" s="291" customFormat="1" ht="24.95" customHeight="1" spans="1:9">
      <c r="A377" s="310">
        <v>2101102</v>
      </c>
      <c r="B377" s="321" t="s">
        <v>404</v>
      </c>
      <c r="C377" s="322">
        <v>14067</v>
      </c>
      <c r="D377" s="323"/>
      <c r="E377" s="322">
        <v>15069.32</v>
      </c>
      <c r="F377" s="324">
        <f t="shared" si="29"/>
        <v>15069.32</v>
      </c>
      <c r="G377" s="325">
        <f t="shared" si="27"/>
        <v>0.0712532878367811</v>
      </c>
      <c r="H377" s="326"/>
      <c r="I377" s="316">
        <f t="shared" si="30"/>
        <v>7</v>
      </c>
    </row>
    <row r="378" s="291" customFormat="1" ht="24.95" customHeight="1" spans="1:9">
      <c r="A378" s="310">
        <v>2101199</v>
      </c>
      <c r="B378" s="321" t="s">
        <v>405</v>
      </c>
      <c r="C378" s="322">
        <v>270</v>
      </c>
      <c r="D378" s="323"/>
      <c r="E378" s="322">
        <v>276.04</v>
      </c>
      <c r="F378" s="324">
        <f t="shared" si="29"/>
        <v>276.04</v>
      </c>
      <c r="G378" s="325">
        <f t="shared" si="27"/>
        <v>0.0223703703703704</v>
      </c>
      <c r="H378" s="326"/>
      <c r="I378" s="316">
        <f t="shared" si="30"/>
        <v>7</v>
      </c>
    </row>
    <row r="379" s="291" customFormat="1" ht="24.95" customHeight="1" spans="1:9">
      <c r="A379" s="310">
        <v>21014</v>
      </c>
      <c r="B379" s="317" t="s">
        <v>406</v>
      </c>
      <c r="C379" s="318">
        <f>C380</f>
        <v>21</v>
      </c>
      <c r="D379" s="318"/>
      <c r="E379" s="318"/>
      <c r="F379" s="319">
        <f t="shared" si="29"/>
        <v>0</v>
      </c>
      <c r="G379" s="320">
        <f t="shared" si="27"/>
        <v>-1</v>
      </c>
      <c r="H379" s="330"/>
      <c r="I379" s="316">
        <f t="shared" si="30"/>
        <v>5</v>
      </c>
    </row>
    <row r="380" s="291" customFormat="1" ht="44.1" customHeight="1" spans="1:9">
      <c r="A380" s="310">
        <v>2101401</v>
      </c>
      <c r="B380" s="321" t="s">
        <v>407</v>
      </c>
      <c r="C380" s="322">
        <v>21</v>
      </c>
      <c r="D380" s="323"/>
      <c r="E380" s="322"/>
      <c r="F380" s="324">
        <f t="shared" si="29"/>
        <v>0</v>
      </c>
      <c r="G380" s="325">
        <f t="shared" si="27"/>
        <v>-1</v>
      </c>
      <c r="H380" s="326" t="s">
        <v>997</v>
      </c>
      <c r="I380" s="316">
        <f t="shared" si="30"/>
        <v>7</v>
      </c>
    </row>
    <row r="381" s="291" customFormat="1" ht="24.95" customHeight="1" spans="1:9">
      <c r="A381" s="310">
        <v>21015</v>
      </c>
      <c r="B381" s="317" t="s">
        <v>1027</v>
      </c>
      <c r="C381" s="318">
        <v>0</v>
      </c>
      <c r="D381" s="318"/>
      <c r="E381" s="318">
        <f>E382</f>
        <v>105</v>
      </c>
      <c r="F381" s="319">
        <f t="shared" si="29"/>
        <v>105</v>
      </c>
      <c r="G381" s="333" t="s">
        <v>20</v>
      </c>
      <c r="H381" s="330"/>
      <c r="I381" s="316">
        <v>7</v>
      </c>
    </row>
    <row r="382" s="291" customFormat="1" ht="24.95" customHeight="1" spans="1:9">
      <c r="A382" s="310">
        <v>2101501</v>
      </c>
      <c r="B382" s="321" t="s">
        <v>49</v>
      </c>
      <c r="C382" s="322">
        <v>0</v>
      </c>
      <c r="D382" s="323"/>
      <c r="E382" s="322">
        <v>105</v>
      </c>
      <c r="F382" s="324">
        <f t="shared" si="29"/>
        <v>105</v>
      </c>
      <c r="G382" s="328" t="s">
        <v>20</v>
      </c>
      <c r="H382" s="326" t="s">
        <v>1028</v>
      </c>
      <c r="I382" s="316">
        <v>7</v>
      </c>
    </row>
    <row r="383" s="291" customFormat="1" ht="24.95" customHeight="1" spans="1:9">
      <c r="A383" s="310">
        <v>21099</v>
      </c>
      <c r="B383" s="317" t="s">
        <v>1029</v>
      </c>
      <c r="C383" s="318">
        <f>C384</f>
        <v>976</v>
      </c>
      <c r="D383" s="318"/>
      <c r="E383" s="318">
        <f>E384</f>
        <v>706.65</v>
      </c>
      <c r="F383" s="319">
        <f t="shared" si="29"/>
        <v>706.65</v>
      </c>
      <c r="G383" s="320">
        <f t="shared" si="27"/>
        <v>-0.275973360655738</v>
      </c>
      <c r="H383" s="330"/>
      <c r="I383" s="316">
        <f t="shared" ref="I383:I394" si="31">LEN(A383)</f>
        <v>5</v>
      </c>
    </row>
    <row r="384" s="291" customFormat="1" ht="36" customHeight="1" spans="1:9">
      <c r="A384" s="310">
        <v>2109901</v>
      </c>
      <c r="B384" s="321" t="s">
        <v>409</v>
      </c>
      <c r="C384" s="322">
        <v>976</v>
      </c>
      <c r="D384" s="323"/>
      <c r="E384" s="322">
        <v>706.65</v>
      </c>
      <c r="F384" s="324">
        <f t="shared" si="29"/>
        <v>706.65</v>
      </c>
      <c r="G384" s="325">
        <f t="shared" si="27"/>
        <v>-0.275973360655738</v>
      </c>
      <c r="H384" s="326" t="s">
        <v>1030</v>
      </c>
      <c r="I384" s="316">
        <f t="shared" si="31"/>
        <v>7</v>
      </c>
    </row>
    <row r="385" s="291" customFormat="1" ht="24.95" customHeight="1" spans="1:9">
      <c r="A385" s="310">
        <v>211</v>
      </c>
      <c r="B385" s="311" t="s">
        <v>410</v>
      </c>
      <c r="C385" s="312">
        <f>C386+C391+C393+C395+C397+C399</f>
        <v>268929</v>
      </c>
      <c r="D385" s="313"/>
      <c r="E385" s="313">
        <f>E386+E391+E393+E395+E397+E399</f>
        <v>44363.55</v>
      </c>
      <c r="F385" s="314">
        <f t="shared" si="29"/>
        <v>44363.55</v>
      </c>
      <c r="G385" s="315">
        <f t="shared" si="27"/>
        <v>-0.835036199145499</v>
      </c>
      <c r="H385" s="312"/>
      <c r="I385" s="316">
        <f t="shared" si="31"/>
        <v>3</v>
      </c>
    </row>
    <row r="386" s="291" customFormat="1" ht="24.95" customHeight="1" spans="1:9">
      <c r="A386" s="310">
        <v>21101</v>
      </c>
      <c r="B386" s="317" t="s">
        <v>411</v>
      </c>
      <c r="C386" s="318">
        <f>SUM(C387:C390)</f>
        <v>13433</v>
      </c>
      <c r="D386" s="318"/>
      <c r="E386" s="318">
        <f>SUM(E387:E390)</f>
        <v>7989.56</v>
      </c>
      <c r="F386" s="319">
        <f t="shared" si="29"/>
        <v>7989.56</v>
      </c>
      <c r="G386" s="320">
        <f t="shared" si="27"/>
        <v>-0.40522891386883</v>
      </c>
      <c r="H386" s="330"/>
      <c r="I386" s="316">
        <f t="shared" si="31"/>
        <v>5</v>
      </c>
    </row>
    <row r="387" s="291" customFormat="1" ht="45.75" customHeight="1" spans="1:9">
      <c r="A387" s="310">
        <v>2110101</v>
      </c>
      <c r="B387" s="321" t="s">
        <v>49</v>
      </c>
      <c r="C387" s="322">
        <v>7613</v>
      </c>
      <c r="D387" s="323"/>
      <c r="E387" s="322">
        <v>1689.29</v>
      </c>
      <c r="F387" s="324">
        <f t="shared" si="29"/>
        <v>1689.29</v>
      </c>
      <c r="G387" s="325">
        <f t="shared" si="27"/>
        <v>-0.778104557992907</v>
      </c>
      <c r="H387" s="326" t="s">
        <v>1031</v>
      </c>
      <c r="I387" s="316">
        <f t="shared" si="31"/>
        <v>7</v>
      </c>
    </row>
    <row r="388" s="291" customFormat="1" ht="145.5" customHeight="1" spans="1:9">
      <c r="A388" s="310">
        <v>2110102</v>
      </c>
      <c r="B388" s="321" t="s">
        <v>50</v>
      </c>
      <c r="C388" s="322">
        <v>4052</v>
      </c>
      <c r="D388" s="323"/>
      <c r="E388" s="322">
        <v>6300.27</v>
      </c>
      <c r="F388" s="324">
        <f t="shared" si="29"/>
        <v>6300.27</v>
      </c>
      <c r="G388" s="325">
        <f t="shared" si="27"/>
        <v>0.554854392892399</v>
      </c>
      <c r="H388" s="326" t="s">
        <v>1032</v>
      </c>
      <c r="I388" s="316">
        <f t="shared" si="31"/>
        <v>7</v>
      </c>
    </row>
    <row r="389" s="291" customFormat="1" ht="48" customHeight="1" spans="1:9">
      <c r="A389" s="310">
        <v>2110104</v>
      </c>
      <c r="B389" s="321" t="s">
        <v>413</v>
      </c>
      <c r="C389" s="322">
        <v>60</v>
      </c>
      <c r="D389" s="323"/>
      <c r="E389" s="322"/>
      <c r="F389" s="324">
        <f t="shared" si="29"/>
        <v>0</v>
      </c>
      <c r="G389" s="325">
        <f t="shared" si="27"/>
        <v>-1</v>
      </c>
      <c r="H389" s="326" t="s">
        <v>1033</v>
      </c>
      <c r="I389" s="316">
        <f t="shared" si="31"/>
        <v>7</v>
      </c>
    </row>
    <row r="390" s="291" customFormat="1" ht="51.95" customHeight="1" spans="1:9">
      <c r="A390" s="310">
        <v>2110199</v>
      </c>
      <c r="B390" s="321" t="s">
        <v>414</v>
      </c>
      <c r="C390" s="322">
        <v>1708</v>
      </c>
      <c r="D390" s="323"/>
      <c r="E390" s="322"/>
      <c r="F390" s="324">
        <f t="shared" si="29"/>
        <v>0</v>
      </c>
      <c r="G390" s="325">
        <f t="shared" ref="G390:G453" si="32">F390/C390-1</f>
        <v>-1</v>
      </c>
      <c r="H390" s="326" t="s">
        <v>1034</v>
      </c>
      <c r="I390" s="316">
        <f t="shared" si="31"/>
        <v>7</v>
      </c>
    </row>
    <row r="391" s="291" customFormat="1" ht="24.95" customHeight="1" spans="1:9">
      <c r="A391" s="310">
        <v>21102</v>
      </c>
      <c r="B391" s="317" t="s">
        <v>416</v>
      </c>
      <c r="C391" s="318">
        <f>C392</f>
        <v>155</v>
      </c>
      <c r="D391" s="318"/>
      <c r="E391" s="318"/>
      <c r="F391" s="319">
        <f t="shared" si="29"/>
        <v>0</v>
      </c>
      <c r="G391" s="320">
        <f t="shared" si="32"/>
        <v>-1</v>
      </c>
      <c r="H391" s="330"/>
      <c r="I391" s="316">
        <f t="shared" si="31"/>
        <v>5</v>
      </c>
    </row>
    <row r="392" s="291" customFormat="1" ht="45.95" customHeight="1" spans="1:9">
      <c r="A392" s="310">
        <v>2110299</v>
      </c>
      <c r="B392" s="321" t="s">
        <v>417</v>
      </c>
      <c r="C392" s="322">
        <v>155</v>
      </c>
      <c r="D392" s="323"/>
      <c r="E392" s="322"/>
      <c r="F392" s="324">
        <f t="shared" si="29"/>
        <v>0</v>
      </c>
      <c r="G392" s="325">
        <f t="shared" si="32"/>
        <v>-1</v>
      </c>
      <c r="H392" s="326" t="s">
        <v>1034</v>
      </c>
      <c r="I392" s="316">
        <f t="shared" si="31"/>
        <v>7</v>
      </c>
    </row>
    <row r="393" s="291" customFormat="1" ht="24.95" customHeight="1" spans="1:9">
      <c r="A393" s="310">
        <v>21103</v>
      </c>
      <c r="B393" s="317" t="s">
        <v>419</v>
      </c>
      <c r="C393" s="318">
        <f>C394</f>
        <v>254029</v>
      </c>
      <c r="D393" s="318"/>
      <c r="E393" s="318">
        <v>36067</v>
      </c>
      <c r="F393" s="319">
        <f t="shared" ref="F393:F456" si="33">D393+E393</f>
        <v>36067</v>
      </c>
      <c r="G393" s="320">
        <f t="shared" si="32"/>
        <v>-0.858020147306016</v>
      </c>
      <c r="H393" s="330"/>
      <c r="I393" s="316">
        <f t="shared" si="31"/>
        <v>5</v>
      </c>
    </row>
    <row r="394" s="291" customFormat="1" ht="97.5" customHeight="1" spans="1:9">
      <c r="A394" s="310">
        <v>2110302</v>
      </c>
      <c r="B394" s="321" t="s">
        <v>420</v>
      </c>
      <c r="C394" s="322">
        <v>254029</v>
      </c>
      <c r="D394" s="323"/>
      <c r="E394" s="322">
        <v>36067</v>
      </c>
      <c r="F394" s="324">
        <f t="shared" si="33"/>
        <v>36067</v>
      </c>
      <c r="G394" s="325">
        <f t="shared" si="32"/>
        <v>-0.858020147306016</v>
      </c>
      <c r="H394" s="326" t="s">
        <v>1035</v>
      </c>
      <c r="I394" s="316">
        <f t="shared" si="31"/>
        <v>7</v>
      </c>
    </row>
    <row r="395" s="291" customFormat="1" ht="24.95" customHeight="1" spans="1:9">
      <c r="A395" s="310">
        <v>21104</v>
      </c>
      <c r="B395" s="317" t="s">
        <v>1036</v>
      </c>
      <c r="C395" s="318">
        <v>0</v>
      </c>
      <c r="D395" s="318"/>
      <c r="E395" s="318">
        <v>35</v>
      </c>
      <c r="F395" s="319">
        <f t="shared" si="33"/>
        <v>35</v>
      </c>
      <c r="G395" s="333" t="s">
        <v>20</v>
      </c>
      <c r="H395" s="330"/>
      <c r="I395" s="316">
        <v>5</v>
      </c>
    </row>
    <row r="396" s="291" customFormat="1" ht="41.1" customHeight="1" spans="1:9">
      <c r="A396" s="310">
        <v>2110401</v>
      </c>
      <c r="B396" s="321" t="s">
        <v>1037</v>
      </c>
      <c r="C396" s="322">
        <v>0</v>
      </c>
      <c r="D396" s="323"/>
      <c r="E396" s="322">
        <v>35</v>
      </c>
      <c r="F396" s="324">
        <f t="shared" si="33"/>
        <v>35</v>
      </c>
      <c r="G396" s="328" t="s">
        <v>20</v>
      </c>
      <c r="H396" s="326" t="s">
        <v>1038</v>
      </c>
      <c r="I396" s="316">
        <v>7</v>
      </c>
    </row>
    <row r="397" s="291" customFormat="1" ht="24.95" customHeight="1" spans="1:9">
      <c r="A397" s="310">
        <v>21111</v>
      </c>
      <c r="B397" s="317" t="s">
        <v>1039</v>
      </c>
      <c r="C397" s="318">
        <f>C398</f>
        <v>13</v>
      </c>
      <c r="D397" s="318"/>
      <c r="E397" s="318"/>
      <c r="F397" s="319">
        <f t="shared" si="33"/>
        <v>0</v>
      </c>
      <c r="G397" s="320">
        <f t="shared" si="32"/>
        <v>-1</v>
      </c>
      <c r="H397" s="330"/>
      <c r="I397" s="316">
        <f t="shared" ref="I397:I433" si="34">LEN(A397)</f>
        <v>5</v>
      </c>
    </row>
    <row r="398" s="291" customFormat="1" ht="42.95" customHeight="1" spans="1:9">
      <c r="A398" s="310">
        <v>2111199</v>
      </c>
      <c r="B398" s="321" t="s">
        <v>423</v>
      </c>
      <c r="C398" s="322">
        <v>13</v>
      </c>
      <c r="D398" s="323"/>
      <c r="E398" s="322"/>
      <c r="F398" s="324">
        <f t="shared" si="33"/>
        <v>0</v>
      </c>
      <c r="G398" s="325">
        <f t="shared" si="32"/>
        <v>-1</v>
      </c>
      <c r="H398" s="326" t="s">
        <v>1034</v>
      </c>
      <c r="I398" s="316">
        <f t="shared" si="34"/>
        <v>7</v>
      </c>
    </row>
    <row r="399" s="291" customFormat="1" ht="24.95" customHeight="1" spans="1:9">
      <c r="A399" s="310">
        <v>21113</v>
      </c>
      <c r="B399" s="317" t="s">
        <v>1040</v>
      </c>
      <c r="C399" s="318">
        <f>C400</f>
        <v>1299</v>
      </c>
      <c r="D399" s="318"/>
      <c r="E399" s="318">
        <v>271.99</v>
      </c>
      <c r="F399" s="319">
        <f t="shared" si="33"/>
        <v>271.99</v>
      </c>
      <c r="G399" s="320">
        <f t="shared" si="32"/>
        <v>-0.790615858352579</v>
      </c>
      <c r="H399" s="330"/>
      <c r="I399" s="316">
        <f t="shared" si="34"/>
        <v>5</v>
      </c>
    </row>
    <row r="400" s="291" customFormat="1" ht="24.95" customHeight="1" spans="1:9">
      <c r="A400" s="310">
        <v>2111301</v>
      </c>
      <c r="B400" s="321" t="s">
        <v>426</v>
      </c>
      <c r="C400" s="322">
        <v>1299</v>
      </c>
      <c r="D400" s="323"/>
      <c r="E400" s="322">
        <v>271.99</v>
      </c>
      <c r="F400" s="324">
        <f t="shared" si="33"/>
        <v>271.99</v>
      </c>
      <c r="G400" s="325">
        <f t="shared" si="32"/>
        <v>-0.790615858352579</v>
      </c>
      <c r="H400" s="326"/>
      <c r="I400" s="316">
        <f t="shared" si="34"/>
        <v>7</v>
      </c>
    </row>
    <row r="401" s="291" customFormat="1" ht="24.95" customHeight="1" spans="1:9">
      <c r="A401" s="310">
        <v>212</v>
      </c>
      <c r="B401" s="311" t="s">
        <v>427</v>
      </c>
      <c r="C401" s="312">
        <f>C402+C409+C411+C414+C416+C418</f>
        <v>754809</v>
      </c>
      <c r="D401" s="313">
        <v>60000</v>
      </c>
      <c r="E401" s="313">
        <f>E402+E409+E411+E414+E416+E418</f>
        <v>676398.15</v>
      </c>
      <c r="F401" s="314">
        <f t="shared" si="33"/>
        <v>736398.15</v>
      </c>
      <c r="G401" s="315">
        <f t="shared" si="32"/>
        <v>-0.0243914023282711</v>
      </c>
      <c r="H401" s="312"/>
      <c r="I401" s="316">
        <f t="shared" si="34"/>
        <v>3</v>
      </c>
    </row>
    <row r="402" s="291" customFormat="1" ht="24.95" customHeight="1" spans="1:9">
      <c r="A402" s="310">
        <v>21201</v>
      </c>
      <c r="B402" s="317" t="s">
        <v>428</v>
      </c>
      <c r="C402" s="318">
        <f>SUM(C403:C408)</f>
        <v>83001</v>
      </c>
      <c r="D402" s="318"/>
      <c r="E402" s="318">
        <v>69388.92</v>
      </c>
      <c r="F402" s="319">
        <f t="shared" si="33"/>
        <v>69388.92</v>
      </c>
      <c r="G402" s="320">
        <f t="shared" si="32"/>
        <v>-0.163998987964</v>
      </c>
      <c r="H402" s="330"/>
      <c r="I402" s="316">
        <f t="shared" si="34"/>
        <v>5</v>
      </c>
    </row>
    <row r="403" s="291" customFormat="1" ht="24.95" customHeight="1" spans="1:9">
      <c r="A403" s="310">
        <v>2120101</v>
      </c>
      <c r="B403" s="321" t="s">
        <v>49</v>
      </c>
      <c r="C403" s="322">
        <v>11867</v>
      </c>
      <c r="D403" s="323"/>
      <c r="E403" s="322">
        <v>12304.98</v>
      </c>
      <c r="F403" s="324">
        <f t="shared" si="33"/>
        <v>12304.98</v>
      </c>
      <c r="G403" s="325">
        <f t="shared" si="32"/>
        <v>0.0369073902418471</v>
      </c>
      <c r="H403" s="326"/>
      <c r="I403" s="316">
        <f t="shared" si="34"/>
        <v>7</v>
      </c>
    </row>
    <row r="404" s="291" customFormat="1" ht="24.95" customHeight="1" spans="1:9">
      <c r="A404" s="310">
        <v>2120102</v>
      </c>
      <c r="B404" s="321" t="s">
        <v>50</v>
      </c>
      <c r="C404" s="322">
        <v>6737</v>
      </c>
      <c r="D404" s="323"/>
      <c r="E404" s="322">
        <v>5644.76</v>
      </c>
      <c r="F404" s="324">
        <f t="shared" si="33"/>
        <v>5644.76</v>
      </c>
      <c r="G404" s="325">
        <f t="shared" si="32"/>
        <v>-0.162125575181832</v>
      </c>
      <c r="H404" s="326"/>
      <c r="I404" s="316">
        <f t="shared" si="34"/>
        <v>7</v>
      </c>
    </row>
    <row r="405" s="291" customFormat="1" ht="100.5" customHeight="1" spans="1:9">
      <c r="A405" s="310">
        <v>2120104</v>
      </c>
      <c r="B405" s="321" t="s">
        <v>429</v>
      </c>
      <c r="C405" s="322">
        <v>38875</v>
      </c>
      <c r="D405" s="323"/>
      <c r="E405" s="322">
        <v>26021.63</v>
      </c>
      <c r="F405" s="324">
        <f t="shared" si="33"/>
        <v>26021.63</v>
      </c>
      <c r="G405" s="325">
        <f t="shared" si="32"/>
        <v>-0.330633311897106</v>
      </c>
      <c r="H405" s="326" t="s">
        <v>1041</v>
      </c>
      <c r="I405" s="316">
        <f t="shared" si="34"/>
        <v>7</v>
      </c>
    </row>
    <row r="406" s="291" customFormat="1" ht="48.95" customHeight="1" spans="1:9">
      <c r="A406" s="310">
        <v>2120105</v>
      </c>
      <c r="B406" s="321" t="s">
        <v>430</v>
      </c>
      <c r="C406" s="322">
        <v>1500</v>
      </c>
      <c r="D406" s="323"/>
      <c r="E406" s="322">
        <v>1457.38</v>
      </c>
      <c r="F406" s="324">
        <f t="shared" si="33"/>
        <v>1457.38</v>
      </c>
      <c r="G406" s="325">
        <f t="shared" si="32"/>
        <v>-0.0284133333333333</v>
      </c>
      <c r="H406" s="326"/>
      <c r="I406" s="316">
        <f t="shared" si="34"/>
        <v>7</v>
      </c>
    </row>
    <row r="407" s="291" customFormat="1" ht="48" customHeight="1" spans="1:9">
      <c r="A407" s="310">
        <v>2120106</v>
      </c>
      <c r="B407" s="321" t="s">
        <v>431</v>
      </c>
      <c r="C407" s="322">
        <v>22277</v>
      </c>
      <c r="D407" s="323"/>
      <c r="E407" s="322">
        <v>22362.67</v>
      </c>
      <c r="F407" s="324">
        <f t="shared" si="33"/>
        <v>22362.67</v>
      </c>
      <c r="G407" s="325">
        <f t="shared" si="32"/>
        <v>0.00384567042240858</v>
      </c>
      <c r="H407" s="326" t="s">
        <v>1042</v>
      </c>
      <c r="I407" s="316">
        <f t="shared" si="34"/>
        <v>7</v>
      </c>
    </row>
    <row r="408" s="291" customFormat="1" ht="24.95" customHeight="1" spans="1:9">
      <c r="A408" s="310">
        <v>2120199</v>
      </c>
      <c r="B408" s="321" t="s">
        <v>432</v>
      </c>
      <c r="C408" s="322">
        <v>1745</v>
      </c>
      <c r="D408" s="323"/>
      <c r="E408" s="322">
        <v>1597.5</v>
      </c>
      <c r="F408" s="324">
        <f t="shared" si="33"/>
        <v>1597.5</v>
      </c>
      <c r="G408" s="325">
        <f t="shared" si="32"/>
        <v>-0.0845272206303725</v>
      </c>
      <c r="H408" s="326"/>
      <c r="I408" s="316">
        <f t="shared" si="34"/>
        <v>7</v>
      </c>
    </row>
    <row r="409" s="291" customFormat="1" ht="38.1" customHeight="1" spans="1:9">
      <c r="A409" s="310">
        <v>21202</v>
      </c>
      <c r="B409" s="332" t="s">
        <v>433</v>
      </c>
      <c r="C409" s="318">
        <f>C410</f>
        <v>5158</v>
      </c>
      <c r="D409" s="318"/>
      <c r="E409" s="318"/>
      <c r="F409" s="319">
        <f t="shared" si="33"/>
        <v>0</v>
      </c>
      <c r="G409" s="320">
        <f t="shared" si="32"/>
        <v>-1</v>
      </c>
      <c r="H409" s="330"/>
      <c r="I409" s="316">
        <f t="shared" si="34"/>
        <v>5</v>
      </c>
    </row>
    <row r="410" s="291" customFormat="1" ht="24.95" customHeight="1" spans="1:9">
      <c r="A410" s="310">
        <v>2120201</v>
      </c>
      <c r="B410" s="327" t="s">
        <v>434</v>
      </c>
      <c r="C410" s="322">
        <v>5158</v>
      </c>
      <c r="D410" s="323"/>
      <c r="E410" s="322"/>
      <c r="F410" s="324">
        <f t="shared" si="33"/>
        <v>0</v>
      </c>
      <c r="G410" s="325">
        <f t="shared" si="32"/>
        <v>-1</v>
      </c>
      <c r="H410" s="326"/>
      <c r="I410" s="316">
        <f t="shared" si="34"/>
        <v>7</v>
      </c>
    </row>
    <row r="411" s="291" customFormat="1" ht="24.95" customHeight="1" spans="1:9">
      <c r="A411" s="310">
        <v>21203</v>
      </c>
      <c r="B411" s="317" t="s">
        <v>436</v>
      </c>
      <c r="C411" s="318">
        <f>SUM(C412:C413)</f>
        <v>102877</v>
      </c>
      <c r="D411" s="318">
        <v>60000</v>
      </c>
      <c r="E411" s="318">
        <f>SUM(E412:E413)</f>
        <v>50046</v>
      </c>
      <c r="F411" s="319">
        <f t="shared" si="33"/>
        <v>110046</v>
      </c>
      <c r="G411" s="320">
        <f t="shared" si="32"/>
        <v>0.0696851580042186</v>
      </c>
      <c r="H411" s="330"/>
      <c r="I411" s="316">
        <f t="shared" si="34"/>
        <v>5</v>
      </c>
    </row>
    <row r="412" s="291" customFormat="1" ht="93.75" customHeight="1" spans="1:9">
      <c r="A412" s="310">
        <v>2120303</v>
      </c>
      <c r="B412" s="321" t="s">
        <v>437</v>
      </c>
      <c r="C412" s="322">
        <v>54775</v>
      </c>
      <c r="D412" s="323">
        <v>60000</v>
      </c>
      <c r="E412" s="322">
        <v>24851</v>
      </c>
      <c r="F412" s="324">
        <f t="shared" si="33"/>
        <v>84851</v>
      </c>
      <c r="G412" s="325">
        <f t="shared" si="32"/>
        <v>0.549082610680055</v>
      </c>
      <c r="H412" s="326" t="s">
        <v>1043</v>
      </c>
      <c r="I412" s="316">
        <f t="shared" si="34"/>
        <v>7</v>
      </c>
    </row>
    <row r="413" s="291" customFormat="1" ht="72" customHeight="1" spans="1:9">
      <c r="A413" s="310">
        <v>2120399</v>
      </c>
      <c r="B413" s="321" t="s">
        <v>439</v>
      </c>
      <c r="C413" s="322">
        <v>48102</v>
      </c>
      <c r="D413" s="323"/>
      <c r="E413" s="322">
        <v>25195</v>
      </c>
      <c r="F413" s="324">
        <f t="shared" si="33"/>
        <v>25195</v>
      </c>
      <c r="G413" s="325">
        <f t="shared" si="32"/>
        <v>-0.476217205105817</v>
      </c>
      <c r="H413" s="326" t="s">
        <v>1044</v>
      </c>
      <c r="I413" s="316">
        <f t="shared" si="34"/>
        <v>7</v>
      </c>
    </row>
    <row r="414" s="291" customFormat="1" ht="24.95" customHeight="1" spans="1:9">
      <c r="A414" s="310">
        <v>21205</v>
      </c>
      <c r="B414" s="317" t="s">
        <v>441</v>
      </c>
      <c r="C414" s="318">
        <f t="shared" ref="C414:C418" si="35">C415</f>
        <v>164420</v>
      </c>
      <c r="D414" s="318"/>
      <c r="E414" s="318">
        <v>186562.01</v>
      </c>
      <c r="F414" s="319">
        <f t="shared" si="33"/>
        <v>186562.01</v>
      </c>
      <c r="G414" s="320">
        <f t="shared" si="32"/>
        <v>0.134667376231602</v>
      </c>
      <c r="H414" s="330"/>
      <c r="I414" s="316">
        <f t="shared" si="34"/>
        <v>5</v>
      </c>
    </row>
    <row r="415" s="291" customFormat="1" ht="100.5" customHeight="1" spans="1:9">
      <c r="A415" s="310">
        <v>2120501</v>
      </c>
      <c r="B415" s="321" t="s">
        <v>442</v>
      </c>
      <c r="C415" s="322">
        <v>164420</v>
      </c>
      <c r="D415" s="323"/>
      <c r="E415" s="322">
        <v>186562.01</v>
      </c>
      <c r="F415" s="324">
        <f t="shared" si="33"/>
        <v>186562.01</v>
      </c>
      <c r="G415" s="325">
        <f t="shared" si="32"/>
        <v>0.134667376231602</v>
      </c>
      <c r="H415" s="326" t="s">
        <v>1045</v>
      </c>
      <c r="I415" s="316">
        <f t="shared" si="34"/>
        <v>7</v>
      </c>
    </row>
    <row r="416" s="291" customFormat="1" ht="24.95" customHeight="1" spans="1:9">
      <c r="A416" s="310">
        <v>21206</v>
      </c>
      <c r="B416" s="317" t="s">
        <v>443</v>
      </c>
      <c r="C416" s="318">
        <f t="shared" si="35"/>
        <v>4557</v>
      </c>
      <c r="D416" s="318"/>
      <c r="E416" s="318">
        <v>4341.58</v>
      </c>
      <c r="F416" s="319">
        <f t="shared" si="33"/>
        <v>4341.58</v>
      </c>
      <c r="G416" s="320">
        <f t="shared" si="32"/>
        <v>-0.0472723282861532</v>
      </c>
      <c r="H416" s="330"/>
      <c r="I416" s="316">
        <f t="shared" si="34"/>
        <v>5</v>
      </c>
    </row>
    <row r="417" s="291" customFormat="1" ht="24.95" customHeight="1" spans="1:9">
      <c r="A417" s="310">
        <v>2120601</v>
      </c>
      <c r="B417" s="321" t="s">
        <v>444</v>
      </c>
      <c r="C417" s="322">
        <v>4557</v>
      </c>
      <c r="D417" s="323"/>
      <c r="E417" s="322">
        <v>4341.58</v>
      </c>
      <c r="F417" s="324">
        <f t="shared" si="33"/>
        <v>4341.58</v>
      </c>
      <c r="G417" s="325">
        <f t="shared" si="32"/>
        <v>-0.0472723282861532</v>
      </c>
      <c r="H417" s="326"/>
      <c r="I417" s="316">
        <f t="shared" si="34"/>
        <v>7</v>
      </c>
    </row>
    <row r="418" s="291" customFormat="1" ht="24.95" customHeight="1" spans="1:9">
      <c r="A418" s="310">
        <v>21299</v>
      </c>
      <c r="B418" s="317" t="s">
        <v>445</v>
      </c>
      <c r="C418" s="318">
        <f t="shared" si="35"/>
        <v>394796</v>
      </c>
      <c r="D418" s="318"/>
      <c r="E418" s="318">
        <v>366059.64</v>
      </c>
      <c r="F418" s="319">
        <f t="shared" si="33"/>
        <v>366059.64</v>
      </c>
      <c r="G418" s="320">
        <f t="shared" si="32"/>
        <v>-0.0727878701911873</v>
      </c>
      <c r="H418" s="330"/>
      <c r="I418" s="316">
        <f t="shared" si="34"/>
        <v>5</v>
      </c>
    </row>
    <row r="419" s="291" customFormat="1" ht="99" customHeight="1" spans="1:9">
      <c r="A419" s="310">
        <v>2129901</v>
      </c>
      <c r="B419" s="321" t="s">
        <v>446</v>
      </c>
      <c r="C419" s="322">
        <v>394796</v>
      </c>
      <c r="D419" s="323"/>
      <c r="E419" s="322">
        <v>366059.64</v>
      </c>
      <c r="F419" s="324">
        <f t="shared" si="33"/>
        <v>366059.64</v>
      </c>
      <c r="G419" s="325">
        <f t="shared" si="32"/>
        <v>-0.0727878701911873</v>
      </c>
      <c r="H419" s="326" t="s">
        <v>1046</v>
      </c>
      <c r="I419" s="316">
        <f t="shared" si="34"/>
        <v>7</v>
      </c>
    </row>
    <row r="420" s="291" customFormat="1" ht="24.95" customHeight="1" spans="1:9">
      <c r="A420" s="310">
        <v>2129999</v>
      </c>
      <c r="B420" s="327" t="s">
        <v>448</v>
      </c>
      <c r="C420" s="322">
        <v>0</v>
      </c>
      <c r="D420" s="323"/>
      <c r="E420" s="322"/>
      <c r="F420" s="324">
        <f t="shared" si="33"/>
        <v>0</v>
      </c>
      <c r="G420" s="328" t="s">
        <v>20</v>
      </c>
      <c r="H420" s="326"/>
      <c r="I420" s="316">
        <f t="shared" si="34"/>
        <v>7</v>
      </c>
    </row>
    <row r="421" s="291" customFormat="1" ht="24.95" customHeight="1" spans="1:9">
      <c r="A421" s="310">
        <v>213</v>
      </c>
      <c r="B421" s="311" t="s">
        <v>449</v>
      </c>
      <c r="C421" s="312">
        <f>C422+C432+C440+C449+C451</f>
        <v>62460</v>
      </c>
      <c r="D421" s="313"/>
      <c r="E421" s="312">
        <f>E422+E432+E440+E449+E451</f>
        <v>63414.2</v>
      </c>
      <c r="F421" s="314">
        <f t="shared" si="33"/>
        <v>63414.2</v>
      </c>
      <c r="G421" s="315">
        <f t="shared" si="32"/>
        <v>0.0152769772654497</v>
      </c>
      <c r="H421" s="312"/>
      <c r="I421" s="316">
        <f t="shared" si="34"/>
        <v>3</v>
      </c>
    </row>
    <row r="422" s="291" customFormat="1" ht="24.95" customHeight="1" spans="1:9">
      <c r="A422" s="310">
        <v>21301</v>
      </c>
      <c r="B422" s="317" t="s">
        <v>450</v>
      </c>
      <c r="C422" s="318">
        <f>SUM(C423:C431)</f>
        <v>5080</v>
      </c>
      <c r="D422" s="318"/>
      <c r="E422" s="318">
        <v>1524.05</v>
      </c>
      <c r="F422" s="319">
        <f t="shared" si="33"/>
        <v>1524.05</v>
      </c>
      <c r="G422" s="320">
        <f t="shared" si="32"/>
        <v>-0.699990157480315</v>
      </c>
      <c r="H422" s="330"/>
      <c r="I422" s="316">
        <f t="shared" si="34"/>
        <v>5</v>
      </c>
    </row>
    <row r="423" s="291" customFormat="1" ht="24.95" customHeight="1" spans="1:9">
      <c r="A423" s="310">
        <v>2130101</v>
      </c>
      <c r="B423" s="321" t="s">
        <v>49</v>
      </c>
      <c r="C423" s="322">
        <v>1260</v>
      </c>
      <c r="D423" s="323"/>
      <c r="E423" s="322"/>
      <c r="F423" s="324">
        <f t="shared" si="33"/>
        <v>0</v>
      </c>
      <c r="G423" s="325">
        <f t="shared" si="32"/>
        <v>-1</v>
      </c>
      <c r="H423" s="326"/>
      <c r="I423" s="316">
        <f t="shared" si="34"/>
        <v>7</v>
      </c>
    </row>
    <row r="424" s="291" customFormat="1" ht="24.95" customHeight="1" spans="1:9">
      <c r="A424" s="310">
        <v>2130102</v>
      </c>
      <c r="B424" s="321" t="s">
        <v>50</v>
      </c>
      <c r="C424" s="322">
        <v>189</v>
      </c>
      <c r="D424" s="323"/>
      <c r="E424" s="322"/>
      <c r="F424" s="324">
        <f t="shared" si="33"/>
        <v>0</v>
      </c>
      <c r="G424" s="325">
        <f t="shared" si="32"/>
        <v>-1</v>
      </c>
      <c r="H424" s="326"/>
      <c r="I424" s="316">
        <f t="shared" si="34"/>
        <v>7</v>
      </c>
    </row>
    <row r="425" s="291" customFormat="1" ht="24.95" customHeight="1" spans="1:9">
      <c r="A425" s="310">
        <v>2130104</v>
      </c>
      <c r="B425" s="321" t="s">
        <v>65</v>
      </c>
      <c r="C425" s="322">
        <v>1551</v>
      </c>
      <c r="D425" s="323"/>
      <c r="E425" s="322"/>
      <c r="F425" s="324">
        <f t="shared" si="33"/>
        <v>0</v>
      </c>
      <c r="G425" s="325">
        <f t="shared" si="32"/>
        <v>-1</v>
      </c>
      <c r="H425" s="326"/>
      <c r="I425" s="316">
        <f t="shared" si="34"/>
        <v>7</v>
      </c>
    </row>
    <row r="426" s="291" customFormat="1" ht="24.95" customHeight="1" spans="1:9">
      <c r="A426" s="310">
        <v>2130106</v>
      </c>
      <c r="B426" s="321" t="s">
        <v>451</v>
      </c>
      <c r="C426" s="322">
        <v>230</v>
      </c>
      <c r="D426" s="323"/>
      <c r="E426" s="322"/>
      <c r="F426" s="324">
        <f t="shared" si="33"/>
        <v>0</v>
      </c>
      <c r="G426" s="325">
        <f t="shared" si="32"/>
        <v>-1</v>
      </c>
      <c r="H426" s="326"/>
      <c r="I426" s="316">
        <f t="shared" si="34"/>
        <v>7</v>
      </c>
    </row>
    <row r="427" s="291" customFormat="1" ht="24.95" customHeight="1" spans="1:9">
      <c r="A427" s="310">
        <v>2130108</v>
      </c>
      <c r="B427" s="321" t="s">
        <v>453</v>
      </c>
      <c r="C427" s="322">
        <v>374</v>
      </c>
      <c r="D427" s="323"/>
      <c r="E427" s="322"/>
      <c r="F427" s="324">
        <f t="shared" si="33"/>
        <v>0</v>
      </c>
      <c r="G427" s="325">
        <f t="shared" si="32"/>
        <v>-1</v>
      </c>
      <c r="H427" s="326"/>
      <c r="I427" s="316">
        <f t="shared" si="34"/>
        <v>7</v>
      </c>
    </row>
    <row r="428" s="291" customFormat="1" ht="24.95" customHeight="1" spans="1:9">
      <c r="A428" s="310">
        <v>2130109</v>
      </c>
      <c r="B428" s="321" t="s">
        <v>454</v>
      </c>
      <c r="C428" s="322">
        <v>34</v>
      </c>
      <c r="D428" s="323"/>
      <c r="E428" s="322"/>
      <c r="F428" s="324">
        <f t="shared" si="33"/>
        <v>0</v>
      </c>
      <c r="G428" s="325">
        <f t="shared" si="32"/>
        <v>-1</v>
      </c>
      <c r="H428" s="326"/>
      <c r="I428" s="316">
        <f t="shared" si="34"/>
        <v>7</v>
      </c>
    </row>
    <row r="429" s="291" customFormat="1" ht="24.95" customHeight="1" spans="1:9">
      <c r="A429" s="310">
        <v>2130110</v>
      </c>
      <c r="B429" s="321" t="s">
        <v>455</v>
      </c>
      <c r="C429" s="322">
        <v>60</v>
      </c>
      <c r="D429" s="323"/>
      <c r="E429" s="322"/>
      <c r="F429" s="324">
        <f t="shared" si="33"/>
        <v>0</v>
      </c>
      <c r="G429" s="325">
        <f t="shared" si="32"/>
        <v>-1</v>
      </c>
      <c r="H429" s="326"/>
      <c r="I429" s="316">
        <f t="shared" si="34"/>
        <v>7</v>
      </c>
    </row>
    <row r="430" s="291" customFormat="1" ht="24.95" customHeight="1" spans="1:9">
      <c r="A430" s="310">
        <v>2130135</v>
      </c>
      <c r="B430" s="327" t="s">
        <v>456</v>
      </c>
      <c r="C430" s="322"/>
      <c r="D430" s="323"/>
      <c r="E430" s="322"/>
      <c r="F430" s="324">
        <f t="shared" si="33"/>
        <v>0</v>
      </c>
      <c r="G430" s="328" t="s">
        <v>20</v>
      </c>
      <c r="H430" s="326"/>
      <c r="I430" s="316">
        <f t="shared" si="34"/>
        <v>7</v>
      </c>
    </row>
    <row r="431" s="291" customFormat="1" ht="24.95" customHeight="1" spans="1:9">
      <c r="A431" s="310">
        <v>2130199</v>
      </c>
      <c r="B431" s="321" t="s">
        <v>457</v>
      </c>
      <c r="C431" s="322">
        <v>1382</v>
      </c>
      <c r="D431" s="323"/>
      <c r="E431" s="322">
        <v>1524.05</v>
      </c>
      <c r="F431" s="324">
        <f t="shared" si="33"/>
        <v>1524.05</v>
      </c>
      <c r="G431" s="325">
        <f t="shared" si="32"/>
        <v>0.102785817655572</v>
      </c>
      <c r="H431" s="326"/>
      <c r="I431" s="316">
        <f t="shared" si="34"/>
        <v>7</v>
      </c>
    </row>
    <row r="432" s="291" customFormat="1" ht="24.95" customHeight="1" spans="1:9">
      <c r="A432" s="310">
        <v>21302</v>
      </c>
      <c r="B432" s="317" t="s">
        <v>459</v>
      </c>
      <c r="C432" s="318">
        <f>SUM(C433:C439)</f>
        <v>3652</v>
      </c>
      <c r="D432" s="318"/>
      <c r="E432" s="318">
        <v>2476.29</v>
      </c>
      <c r="F432" s="319">
        <f t="shared" si="33"/>
        <v>2476.29</v>
      </c>
      <c r="G432" s="320">
        <f t="shared" si="32"/>
        <v>-0.321935925520263</v>
      </c>
      <c r="H432" s="330"/>
      <c r="I432" s="316">
        <f t="shared" si="34"/>
        <v>5</v>
      </c>
    </row>
    <row r="433" s="291" customFormat="1" ht="60.75" customHeight="1" spans="1:9">
      <c r="A433" s="310">
        <v>2130201</v>
      </c>
      <c r="B433" s="321" t="s">
        <v>49</v>
      </c>
      <c r="C433" s="322">
        <v>740</v>
      </c>
      <c r="D433" s="323"/>
      <c r="E433" s="322"/>
      <c r="F433" s="324">
        <f t="shared" si="33"/>
        <v>0</v>
      </c>
      <c r="G433" s="325">
        <f t="shared" si="32"/>
        <v>-1</v>
      </c>
      <c r="H433" s="326" t="s">
        <v>1047</v>
      </c>
      <c r="I433" s="316">
        <f t="shared" si="34"/>
        <v>7</v>
      </c>
    </row>
    <row r="434" s="291" customFormat="1" ht="34.5" customHeight="1" spans="1:9">
      <c r="A434" s="310">
        <v>2130205</v>
      </c>
      <c r="B434" s="321" t="s">
        <v>460</v>
      </c>
      <c r="C434" s="322">
        <v>641</v>
      </c>
      <c r="D434" s="323"/>
      <c r="E434" s="322"/>
      <c r="F434" s="324">
        <f t="shared" si="33"/>
        <v>0</v>
      </c>
      <c r="G434" s="325">
        <f t="shared" si="32"/>
        <v>-1</v>
      </c>
      <c r="H434" s="326"/>
      <c r="I434" s="316">
        <v>7</v>
      </c>
    </row>
    <row r="435" s="291" customFormat="1" ht="35.25" customHeight="1" spans="1:9">
      <c r="A435" s="310">
        <v>2130211</v>
      </c>
      <c r="B435" s="321" t="s">
        <v>461</v>
      </c>
      <c r="C435" s="322">
        <v>52</v>
      </c>
      <c r="D435" s="323"/>
      <c r="E435" s="322"/>
      <c r="F435" s="324">
        <f t="shared" si="33"/>
        <v>0</v>
      </c>
      <c r="G435" s="325">
        <f t="shared" si="32"/>
        <v>-1</v>
      </c>
      <c r="H435" s="326" t="s">
        <v>1048</v>
      </c>
      <c r="I435" s="316">
        <f t="shared" ref="I435:I440" si="36">LEN(A435)</f>
        <v>7</v>
      </c>
    </row>
    <row r="436" s="291" customFormat="1" ht="39.75" customHeight="1" spans="1:9">
      <c r="A436" s="310">
        <v>2130213</v>
      </c>
      <c r="B436" s="321" t="s">
        <v>463</v>
      </c>
      <c r="C436" s="322">
        <v>197</v>
      </c>
      <c r="D436" s="323"/>
      <c r="E436" s="322"/>
      <c r="F436" s="324">
        <f t="shared" si="33"/>
        <v>0</v>
      </c>
      <c r="G436" s="325">
        <f t="shared" si="32"/>
        <v>-1</v>
      </c>
      <c r="H436" s="326" t="s">
        <v>1049</v>
      </c>
      <c r="I436" s="316">
        <f t="shared" si="36"/>
        <v>7</v>
      </c>
    </row>
    <row r="437" s="291" customFormat="1" ht="24.95" customHeight="1" spans="1:9">
      <c r="A437" s="310">
        <v>2130216</v>
      </c>
      <c r="B437" s="327" t="s">
        <v>464</v>
      </c>
      <c r="C437" s="322"/>
      <c r="D437" s="323"/>
      <c r="E437" s="322"/>
      <c r="F437" s="324">
        <f t="shared" si="33"/>
        <v>0</v>
      </c>
      <c r="G437" s="328" t="s">
        <v>20</v>
      </c>
      <c r="H437" s="326"/>
      <c r="I437" s="316">
        <f t="shared" si="36"/>
        <v>7</v>
      </c>
    </row>
    <row r="438" s="291" customFormat="1" ht="39.75" customHeight="1" spans="1:9">
      <c r="A438" s="310">
        <v>2130234</v>
      </c>
      <c r="B438" s="321" t="s">
        <v>465</v>
      </c>
      <c r="C438" s="322">
        <v>92</v>
      </c>
      <c r="D438" s="323"/>
      <c r="E438" s="322"/>
      <c r="F438" s="324">
        <f t="shared" si="33"/>
        <v>0</v>
      </c>
      <c r="G438" s="325">
        <f t="shared" si="32"/>
        <v>-1</v>
      </c>
      <c r="H438" s="326" t="s">
        <v>1048</v>
      </c>
      <c r="I438" s="316">
        <f t="shared" si="36"/>
        <v>7</v>
      </c>
    </row>
    <row r="439" s="291" customFormat="1" ht="44.25" customHeight="1" spans="1:9">
      <c r="A439" s="310">
        <v>2130299</v>
      </c>
      <c r="B439" s="321" t="s">
        <v>467</v>
      </c>
      <c r="C439" s="322">
        <v>1930</v>
      </c>
      <c r="D439" s="323"/>
      <c r="E439" s="322">
        <v>2476.29</v>
      </c>
      <c r="F439" s="324">
        <f t="shared" si="33"/>
        <v>2476.29</v>
      </c>
      <c r="G439" s="325">
        <f t="shared" si="32"/>
        <v>0.283051813471503</v>
      </c>
      <c r="H439" s="326" t="s">
        <v>1050</v>
      </c>
      <c r="I439" s="316">
        <f t="shared" si="36"/>
        <v>7</v>
      </c>
    </row>
    <row r="440" s="291" customFormat="1" ht="24.95" customHeight="1" spans="1:9">
      <c r="A440" s="310">
        <v>21303</v>
      </c>
      <c r="B440" s="317" t="s">
        <v>468</v>
      </c>
      <c r="C440" s="318">
        <f>SUM(C442:C448)</f>
        <v>48652</v>
      </c>
      <c r="D440" s="318"/>
      <c r="E440" s="318">
        <f>SUM(E441:E448)</f>
        <v>58384.56</v>
      </c>
      <c r="F440" s="319">
        <f t="shared" si="33"/>
        <v>58384.56</v>
      </c>
      <c r="G440" s="320">
        <f t="shared" si="32"/>
        <v>0.200044396941544</v>
      </c>
      <c r="H440" s="330"/>
      <c r="I440" s="316">
        <f t="shared" si="36"/>
        <v>5</v>
      </c>
    </row>
    <row r="441" s="291" customFormat="1" ht="24.95" customHeight="1" spans="1:9">
      <c r="A441" s="310">
        <v>2130302</v>
      </c>
      <c r="B441" s="321" t="s">
        <v>50</v>
      </c>
      <c r="C441" s="322"/>
      <c r="D441" s="323"/>
      <c r="E441" s="322">
        <v>138</v>
      </c>
      <c r="F441" s="324">
        <f t="shared" si="33"/>
        <v>138</v>
      </c>
      <c r="G441" s="328" t="s">
        <v>20</v>
      </c>
      <c r="H441" s="326"/>
      <c r="I441" s="316">
        <v>7</v>
      </c>
    </row>
    <row r="442" s="291" customFormat="1" ht="24.95" customHeight="1" spans="1:9">
      <c r="A442" s="310">
        <v>2130304</v>
      </c>
      <c r="B442" s="321" t="s">
        <v>469</v>
      </c>
      <c r="C442" s="322">
        <v>2314</v>
      </c>
      <c r="D442" s="323"/>
      <c r="E442" s="322">
        <v>2098.34</v>
      </c>
      <c r="F442" s="324">
        <f t="shared" si="33"/>
        <v>2098.34</v>
      </c>
      <c r="G442" s="325">
        <f t="shared" si="32"/>
        <v>-0.0931979256698358</v>
      </c>
      <c r="H442" s="326"/>
      <c r="I442" s="316">
        <f t="shared" ref="I442:I461" si="37">LEN(A442)</f>
        <v>7</v>
      </c>
    </row>
    <row r="443" s="291" customFormat="1" ht="74.25" customHeight="1" spans="1:9">
      <c r="A443" s="310">
        <v>2130305</v>
      </c>
      <c r="B443" s="321" t="s">
        <v>471</v>
      </c>
      <c r="C443" s="322">
        <v>17826</v>
      </c>
      <c r="D443" s="323"/>
      <c r="E443" s="322">
        <v>27521</v>
      </c>
      <c r="F443" s="324">
        <f t="shared" si="33"/>
        <v>27521</v>
      </c>
      <c r="G443" s="325">
        <f t="shared" si="32"/>
        <v>0.543868506675642</v>
      </c>
      <c r="H443" s="326" t="s">
        <v>1051</v>
      </c>
      <c r="I443" s="316">
        <f t="shared" si="37"/>
        <v>7</v>
      </c>
    </row>
    <row r="444" s="291" customFormat="1" ht="24.95" customHeight="1" spans="1:9">
      <c r="A444" s="310">
        <v>2130306</v>
      </c>
      <c r="B444" s="321" t="s">
        <v>473</v>
      </c>
      <c r="C444" s="322">
        <v>9121</v>
      </c>
      <c r="D444" s="323"/>
      <c r="E444" s="322">
        <v>8808.83</v>
      </c>
      <c r="F444" s="324">
        <f t="shared" si="33"/>
        <v>8808.83</v>
      </c>
      <c r="G444" s="325">
        <f t="shared" si="32"/>
        <v>-0.0342254138800571</v>
      </c>
      <c r="H444" s="326"/>
      <c r="I444" s="316">
        <f t="shared" si="37"/>
        <v>7</v>
      </c>
    </row>
    <row r="445" s="291" customFormat="1" ht="24.95" customHeight="1" spans="1:9">
      <c r="A445" s="310">
        <v>2130310</v>
      </c>
      <c r="B445" s="321" t="s">
        <v>474</v>
      </c>
      <c r="C445" s="322">
        <v>192</v>
      </c>
      <c r="D445" s="323"/>
      <c r="E445" s="322">
        <v>200.2</v>
      </c>
      <c r="F445" s="324">
        <f t="shared" si="33"/>
        <v>200.2</v>
      </c>
      <c r="G445" s="325">
        <f t="shared" si="32"/>
        <v>0.0427083333333333</v>
      </c>
      <c r="H445" s="326"/>
      <c r="I445" s="316">
        <f t="shared" si="37"/>
        <v>7</v>
      </c>
    </row>
    <row r="446" s="291" customFormat="1" ht="24.95" customHeight="1" spans="1:9">
      <c r="A446" s="310">
        <v>2130311</v>
      </c>
      <c r="B446" s="321" t="s">
        <v>475</v>
      </c>
      <c r="C446" s="322">
        <v>3584</v>
      </c>
      <c r="D446" s="323"/>
      <c r="E446" s="339">
        <v>3858.63</v>
      </c>
      <c r="F446" s="324">
        <f t="shared" si="33"/>
        <v>3858.63</v>
      </c>
      <c r="G446" s="325">
        <f t="shared" si="32"/>
        <v>0.0766266741071429</v>
      </c>
      <c r="H446" s="326"/>
      <c r="I446" s="316">
        <f t="shared" si="37"/>
        <v>7</v>
      </c>
    </row>
    <row r="447" s="291" customFormat="1" ht="63" customHeight="1" spans="1:9">
      <c r="A447" s="310">
        <v>2130314</v>
      </c>
      <c r="B447" s="321" t="s">
        <v>476</v>
      </c>
      <c r="C447" s="322">
        <v>4745</v>
      </c>
      <c r="D447" s="323"/>
      <c r="E447" s="322">
        <v>2652.04</v>
      </c>
      <c r="F447" s="324">
        <f t="shared" si="33"/>
        <v>2652.04</v>
      </c>
      <c r="G447" s="325">
        <f t="shared" si="32"/>
        <v>-0.441087460484721</v>
      </c>
      <c r="H447" s="326" t="s">
        <v>1052</v>
      </c>
      <c r="I447" s="316">
        <f t="shared" si="37"/>
        <v>7</v>
      </c>
    </row>
    <row r="448" s="291" customFormat="1" ht="77.25" customHeight="1" spans="1:9">
      <c r="A448" s="310">
        <v>2130399</v>
      </c>
      <c r="B448" s="321" t="s">
        <v>477</v>
      </c>
      <c r="C448" s="322">
        <v>10870</v>
      </c>
      <c r="D448" s="323"/>
      <c r="E448" s="322">
        <v>13107.52</v>
      </c>
      <c r="F448" s="324">
        <f t="shared" si="33"/>
        <v>13107.52</v>
      </c>
      <c r="G448" s="325">
        <f t="shared" si="32"/>
        <v>0.20584360625575</v>
      </c>
      <c r="H448" s="326" t="s">
        <v>1053</v>
      </c>
      <c r="I448" s="316">
        <f t="shared" si="37"/>
        <v>7</v>
      </c>
    </row>
    <row r="449" s="291" customFormat="1" ht="24.95" customHeight="1" spans="1:9">
      <c r="A449" s="310">
        <v>21305</v>
      </c>
      <c r="B449" s="317" t="s">
        <v>478</v>
      </c>
      <c r="C449" s="318">
        <f t="shared" ref="C449:C453" si="38">C450</f>
        <v>2851</v>
      </c>
      <c r="D449" s="318"/>
      <c r="E449" s="318">
        <v>400</v>
      </c>
      <c r="F449" s="319">
        <f t="shared" si="33"/>
        <v>400</v>
      </c>
      <c r="G449" s="320">
        <f t="shared" si="32"/>
        <v>-0.85969835145563</v>
      </c>
      <c r="H449" s="330"/>
      <c r="I449" s="316">
        <f t="shared" si="37"/>
        <v>5</v>
      </c>
    </row>
    <row r="450" s="291" customFormat="1" ht="24.95" customHeight="1" spans="1:9">
      <c r="A450" s="310">
        <v>2130599</v>
      </c>
      <c r="B450" s="321" t="s">
        <v>479</v>
      </c>
      <c r="C450" s="322">
        <v>2851</v>
      </c>
      <c r="D450" s="323"/>
      <c r="E450" s="322">
        <v>400</v>
      </c>
      <c r="F450" s="324">
        <f t="shared" si="33"/>
        <v>400</v>
      </c>
      <c r="G450" s="325">
        <f t="shared" si="32"/>
        <v>-0.85969835145563</v>
      </c>
      <c r="H450" s="326"/>
      <c r="I450" s="316">
        <f t="shared" si="37"/>
        <v>7</v>
      </c>
    </row>
    <row r="451" s="291" customFormat="1" ht="24.95" customHeight="1" spans="1:9">
      <c r="A451" s="310">
        <v>21399</v>
      </c>
      <c r="B451" s="317" t="s">
        <v>480</v>
      </c>
      <c r="C451" s="318">
        <f t="shared" si="38"/>
        <v>2225</v>
      </c>
      <c r="D451" s="318"/>
      <c r="E451" s="318">
        <v>629.3</v>
      </c>
      <c r="F451" s="319">
        <f t="shared" si="33"/>
        <v>629.3</v>
      </c>
      <c r="G451" s="320">
        <f t="shared" si="32"/>
        <v>-0.717168539325843</v>
      </c>
      <c r="H451" s="330"/>
      <c r="I451" s="316">
        <f t="shared" si="37"/>
        <v>5</v>
      </c>
    </row>
    <row r="452" s="291" customFormat="1" ht="39.75" customHeight="1" spans="1:9">
      <c r="A452" s="310">
        <v>2139999</v>
      </c>
      <c r="B452" s="321" t="s">
        <v>481</v>
      </c>
      <c r="C452" s="322">
        <v>2225</v>
      </c>
      <c r="D452" s="323"/>
      <c r="E452" s="322">
        <v>629.3</v>
      </c>
      <c r="F452" s="324">
        <f t="shared" si="33"/>
        <v>629.3</v>
      </c>
      <c r="G452" s="325">
        <f t="shared" si="32"/>
        <v>-0.717168539325843</v>
      </c>
      <c r="H452" s="326" t="s">
        <v>997</v>
      </c>
      <c r="I452" s="316">
        <f t="shared" si="37"/>
        <v>7</v>
      </c>
    </row>
    <row r="453" s="291" customFormat="1" ht="24.95" customHeight="1" spans="1:9">
      <c r="A453" s="310">
        <v>214</v>
      </c>
      <c r="B453" s="311" t="s">
        <v>482</v>
      </c>
      <c r="C453" s="312">
        <f t="shared" si="38"/>
        <v>2534</v>
      </c>
      <c r="D453" s="313"/>
      <c r="E453" s="313">
        <f>E454</f>
        <v>1234.99</v>
      </c>
      <c r="F453" s="314">
        <f t="shared" si="33"/>
        <v>1234.99</v>
      </c>
      <c r="G453" s="315">
        <f t="shared" si="32"/>
        <v>-0.512632202052091</v>
      </c>
      <c r="H453" s="312"/>
      <c r="I453" s="316">
        <f t="shared" si="37"/>
        <v>3</v>
      </c>
    </row>
    <row r="454" s="291" customFormat="1" ht="24.95" customHeight="1" spans="1:9">
      <c r="A454" s="310">
        <v>21401</v>
      </c>
      <c r="B454" s="317" t="s">
        <v>483</v>
      </c>
      <c r="C454" s="318">
        <f>SUM(C455:C458)</f>
        <v>2534</v>
      </c>
      <c r="D454" s="318"/>
      <c r="E454" s="318">
        <v>1234.99</v>
      </c>
      <c r="F454" s="319">
        <f t="shared" si="33"/>
        <v>1234.99</v>
      </c>
      <c r="G454" s="320">
        <f t="shared" ref="G454:G517" si="39">F454/C454-1</f>
        <v>-0.512632202052091</v>
      </c>
      <c r="H454" s="330"/>
      <c r="I454" s="316">
        <f t="shared" si="37"/>
        <v>5</v>
      </c>
    </row>
    <row r="455" s="291" customFormat="1" ht="30.75" customHeight="1" spans="1:9">
      <c r="A455" s="310">
        <v>2140101</v>
      </c>
      <c r="B455" s="321" t="s">
        <v>49</v>
      </c>
      <c r="C455" s="322">
        <v>229</v>
      </c>
      <c r="D455" s="323"/>
      <c r="E455" s="322"/>
      <c r="F455" s="324">
        <f t="shared" si="33"/>
        <v>0</v>
      </c>
      <c r="G455" s="325">
        <f t="shared" si="39"/>
        <v>-1</v>
      </c>
      <c r="H455" s="326" t="s">
        <v>997</v>
      </c>
      <c r="I455" s="316">
        <f t="shared" si="37"/>
        <v>7</v>
      </c>
    </row>
    <row r="456" s="291" customFormat="1" ht="63" customHeight="1" spans="1:9">
      <c r="A456" s="310">
        <v>2140102</v>
      </c>
      <c r="B456" s="321" t="s">
        <v>50</v>
      </c>
      <c r="C456" s="322">
        <v>343</v>
      </c>
      <c r="D456" s="323"/>
      <c r="E456" s="322">
        <v>1124.49</v>
      </c>
      <c r="F456" s="324">
        <f t="shared" si="33"/>
        <v>1124.49</v>
      </c>
      <c r="G456" s="325">
        <f t="shared" si="39"/>
        <v>2.27839650145773</v>
      </c>
      <c r="H456" s="326" t="s">
        <v>1054</v>
      </c>
      <c r="I456" s="316">
        <f t="shared" si="37"/>
        <v>7</v>
      </c>
    </row>
    <row r="457" s="291" customFormat="1" ht="24.95" customHeight="1" spans="1:9">
      <c r="A457" s="310">
        <v>2140104</v>
      </c>
      <c r="B457" s="327" t="s">
        <v>484</v>
      </c>
      <c r="C457" s="322">
        <v>1862</v>
      </c>
      <c r="D457" s="323"/>
      <c r="E457" s="322"/>
      <c r="F457" s="324">
        <f t="shared" ref="F457:F519" si="40">D457+E457</f>
        <v>0</v>
      </c>
      <c r="G457" s="325">
        <f t="shared" si="39"/>
        <v>-1</v>
      </c>
      <c r="H457" s="326"/>
      <c r="I457" s="316">
        <f t="shared" si="37"/>
        <v>7</v>
      </c>
    </row>
    <row r="458" s="291" customFormat="1" ht="24.95" customHeight="1" spans="1:9">
      <c r="A458" s="310">
        <v>2140110</v>
      </c>
      <c r="B458" s="321" t="s">
        <v>486</v>
      </c>
      <c r="C458" s="322">
        <v>100</v>
      </c>
      <c r="D458" s="323"/>
      <c r="E458" s="322">
        <v>110.5</v>
      </c>
      <c r="F458" s="324">
        <f t="shared" si="40"/>
        <v>110.5</v>
      </c>
      <c r="G458" s="325">
        <f t="shared" si="39"/>
        <v>0.105</v>
      </c>
      <c r="H458" s="326"/>
      <c r="I458" s="316">
        <f t="shared" si="37"/>
        <v>7</v>
      </c>
    </row>
    <row r="459" s="291" customFormat="1" ht="48.95" customHeight="1" spans="1:9">
      <c r="A459" s="310">
        <v>215</v>
      </c>
      <c r="B459" s="311" t="s">
        <v>487</v>
      </c>
      <c r="C459" s="312">
        <f>C460+C462+C464+C470</f>
        <v>1993</v>
      </c>
      <c r="D459" s="313"/>
      <c r="E459" s="313">
        <f>E460+E462+E464+E470+E474</f>
        <v>1251.18</v>
      </c>
      <c r="F459" s="314">
        <f t="shared" si="40"/>
        <v>1251.18</v>
      </c>
      <c r="G459" s="315">
        <f t="shared" si="39"/>
        <v>-0.372212744606121</v>
      </c>
      <c r="H459" s="312"/>
      <c r="I459" s="316">
        <f t="shared" si="37"/>
        <v>3</v>
      </c>
    </row>
    <row r="460" s="291" customFormat="1" ht="24.95" customHeight="1" spans="1:9">
      <c r="A460" s="331">
        <v>21502</v>
      </c>
      <c r="B460" s="332" t="s">
        <v>488</v>
      </c>
      <c r="C460" s="318"/>
      <c r="D460" s="318"/>
      <c r="E460" s="318"/>
      <c r="F460" s="319"/>
      <c r="G460" s="333"/>
      <c r="H460" s="330"/>
      <c r="I460" s="316">
        <f t="shared" si="37"/>
        <v>5</v>
      </c>
    </row>
    <row r="461" s="291" customFormat="1" ht="24.95" customHeight="1" spans="1:9">
      <c r="A461" s="331">
        <v>2150299</v>
      </c>
      <c r="B461" s="327" t="s">
        <v>489</v>
      </c>
      <c r="C461" s="322"/>
      <c r="D461" s="345"/>
      <c r="E461" s="346"/>
      <c r="F461" s="324"/>
      <c r="G461" s="328"/>
      <c r="H461" s="326"/>
      <c r="I461" s="316">
        <f t="shared" si="37"/>
        <v>7</v>
      </c>
    </row>
    <row r="462" s="291" customFormat="1" ht="24.95" customHeight="1" spans="1:9">
      <c r="A462" s="331">
        <v>21505</v>
      </c>
      <c r="B462" s="332" t="s">
        <v>490</v>
      </c>
      <c r="C462" s="318">
        <f>C463</f>
        <v>17</v>
      </c>
      <c r="D462" s="347"/>
      <c r="E462" s="347"/>
      <c r="F462" s="319">
        <f t="shared" si="40"/>
        <v>0</v>
      </c>
      <c r="G462" s="320">
        <f t="shared" si="39"/>
        <v>-1</v>
      </c>
      <c r="H462" s="330"/>
      <c r="I462" s="316">
        <v>5</v>
      </c>
    </row>
    <row r="463" s="291" customFormat="1" ht="24.95" customHeight="1" spans="1:9">
      <c r="A463" s="331">
        <v>2150509</v>
      </c>
      <c r="B463" s="327" t="s">
        <v>491</v>
      </c>
      <c r="C463" s="322">
        <v>17</v>
      </c>
      <c r="D463" s="345"/>
      <c r="E463" s="346"/>
      <c r="F463" s="324">
        <f t="shared" si="40"/>
        <v>0</v>
      </c>
      <c r="G463" s="325">
        <f t="shared" si="39"/>
        <v>-1</v>
      </c>
      <c r="H463" s="326"/>
      <c r="I463" s="316">
        <v>7</v>
      </c>
    </row>
    <row r="464" s="291" customFormat="1" ht="24.95" customHeight="1" spans="1:9">
      <c r="A464" s="331">
        <v>21506</v>
      </c>
      <c r="B464" s="332" t="s">
        <v>492</v>
      </c>
      <c r="C464" s="318"/>
      <c r="D464" s="318"/>
      <c r="E464" s="318"/>
      <c r="F464" s="319"/>
      <c r="G464" s="333"/>
      <c r="H464" s="330"/>
      <c r="I464" s="316">
        <f t="shared" ref="I464:I470" si="41">LEN(A464)</f>
        <v>5</v>
      </c>
    </row>
    <row r="465" s="291" customFormat="1" ht="24.95" customHeight="1" spans="1:9">
      <c r="A465" s="331">
        <v>2150601</v>
      </c>
      <c r="B465" s="327" t="s">
        <v>49</v>
      </c>
      <c r="C465" s="322"/>
      <c r="D465" s="323"/>
      <c r="E465" s="322"/>
      <c r="F465" s="324"/>
      <c r="G465" s="328"/>
      <c r="H465" s="326"/>
      <c r="I465" s="316">
        <f t="shared" si="41"/>
        <v>7</v>
      </c>
    </row>
    <row r="466" s="291" customFormat="1" ht="24.95" customHeight="1" spans="1:9">
      <c r="A466" s="331">
        <v>2150602</v>
      </c>
      <c r="B466" s="327" t="s">
        <v>50</v>
      </c>
      <c r="C466" s="322"/>
      <c r="D466" s="323"/>
      <c r="E466" s="322"/>
      <c r="F466" s="324"/>
      <c r="G466" s="328"/>
      <c r="H466" s="326"/>
      <c r="I466" s="316">
        <f t="shared" si="41"/>
        <v>7</v>
      </c>
    </row>
    <row r="467" s="291" customFormat="1" ht="24.95" customHeight="1" spans="1:9">
      <c r="A467" s="331">
        <v>2150605</v>
      </c>
      <c r="B467" s="327" t="s">
        <v>493</v>
      </c>
      <c r="C467" s="322"/>
      <c r="D467" s="323"/>
      <c r="E467" s="322"/>
      <c r="F467" s="324"/>
      <c r="G467" s="328"/>
      <c r="H467" s="326"/>
      <c r="I467" s="316">
        <f t="shared" si="41"/>
        <v>7</v>
      </c>
    </row>
    <row r="468" s="291" customFormat="1" ht="24.95" customHeight="1" spans="1:9">
      <c r="A468" s="331">
        <v>2150606</v>
      </c>
      <c r="B468" s="327" t="s">
        <v>494</v>
      </c>
      <c r="C468" s="322"/>
      <c r="D468" s="323"/>
      <c r="E468" s="322"/>
      <c r="F468" s="324"/>
      <c r="G468" s="328"/>
      <c r="H468" s="326"/>
      <c r="I468" s="316">
        <f t="shared" si="41"/>
        <v>7</v>
      </c>
    </row>
    <row r="469" s="291" customFormat="1" ht="24.95" customHeight="1" spans="1:9">
      <c r="A469" s="331">
        <v>2150699</v>
      </c>
      <c r="B469" s="327" t="s">
        <v>495</v>
      </c>
      <c r="C469" s="322"/>
      <c r="D469" s="323"/>
      <c r="E469" s="322"/>
      <c r="F469" s="324"/>
      <c r="G469" s="328"/>
      <c r="H469" s="326"/>
      <c r="I469" s="316">
        <f t="shared" si="41"/>
        <v>7</v>
      </c>
    </row>
    <row r="470" s="291" customFormat="1" ht="24.95" customHeight="1" spans="1:9">
      <c r="A470" s="310">
        <v>21507</v>
      </c>
      <c r="B470" s="317" t="s">
        <v>496</v>
      </c>
      <c r="C470" s="318">
        <f>SUM(C471:C473)</f>
        <v>1976</v>
      </c>
      <c r="D470" s="318"/>
      <c r="E470" s="318">
        <v>1251.18</v>
      </c>
      <c r="F470" s="319">
        <f t="shared" si="40"/>
        <v>1251.18</v>
      </c>
      <c r="G470" s="320">
        <f t="shared" si="39"/>
        <v>-0.366811740890688</v>
      </c>
      <c r="H470" s="330"/>
      <c r="I470" s="316">
        <f t="shared" si="41"/>
        <v>5</v>
      </c>
    </row>
    <row r="471" s="291" customFormat="1" ht="24.95" customHeight="1" spans="1:9">
      <c r="A471" s="310">
        <v>2150701</v>
      </c>
      <c r="B471" s="321" t="s">
        <v>497</v>
      </c>
      <c r="C471" s="322">
        <v>278</v>
      </c>
      <c r="D471" s="323"/>
      <c r="E471" s="322">
        <v>988.2</v>
      </c>
      <c r="F471" s="324">
        <f t="shared" si="40"/>
        <v>988.2</v>
      </c>
      <c r="G471" s="325">
        <f t="shared" si="39"/>
        <v>2.55467625899281</v>
      </c>
      <c r="H471" s="326"/>
      <c r="I471" s="316">
        <v>7</v>
      </c>
    </row>
    <row r="472" s="291" customFormat="1" ht="24.95" customHeight="1" spans="1:9">
      <c r="A472" s="310">
        <v>2150702</v>
      </c>
      <c r="B472" s="321" t="s">
        <v>498</v>
      </c>
      <c r="C472" s="322">
        <v>68</v>
      </c>
      <c r="D472" s="323"/>
      <c r="E472" s="322">
        <v>197.98</v>
      </c>
      <c r="F472" s="324">
        <f t="shared" si="40"/>
        <v>197.98</v>
      </c>
      <c r="G472" s="325">
        <f t="shared" si="39"/>
        <v>1.91147058823529</v>
      </c>
      <c r="H472" s="326"/>
      <c r="I472" s="316">
        <v>7</v>
      </c>
    </row>
    <row r="473" s="291" customFormat="1" ht="24.95" customHeight="1" spans="1:9">
      <c r="A473" s="310">
        <v>2150799</v>
      </c>
      <c r="B473" s="321" t="s">
        <v>499</v>
      </c>
      <c r="C473" s="322">
        <v>1630</v>
      </c>
      <c r="D473" s="323"/>
      <c r="E473" s="322">
        <v>65</v>
      </c>
      <c r="F473" s="324">
        <f t="shared" si="40"/>
        <v>65</v>
      </c>
      <c r="G473" s="325">
        <f t="shared" si="39"/>
        <v>-0.960122699386503</v>
      </c>
      <c r="H473" s="326"/>
      <c r="I473" s="316">
        <f t="shared" ref="I473:I507" si="42">LEN(A473)</f>
        <v>7</v>
      </c>
    </row>
    <row r="474" s="291" customFormat="1" ht="42" customHeight="1" spans="1:9">
      <c r="A474" s="310">
        <v>21599</v>
      </c>
      <c r="B474" s="317" t="s">
        <v>500</v>
      </c>
      <c r="C474" s="318"/>
      <c r="D474" s="318"/>
      <c r="E474" s="318"/>
      <c r="F474" s="319"/>
      <c r="G474" s="333"/>
      <c r="H474" s="330"/>
      <c r="I474" s="316">
        <f t="shared" si="42"/>
        <v>5</v>
      </c>
    </row>
    <row r="475" s="291" customFormat="1" ht="24.95" customHeight="1" spans="1:9">
      <c r="A475" s="310">
        <v>2159999</v>
      </c>
      <c r="B475" s="321" t="s">
        <v>501</v>
      </c>
      <c r="C475" s="322"/>
      <c r="D475" s="323"/>
      <c r="E475" s="322"/>
      <c r="F475" s="324"/>
      <c r="G475" s="328"/>
      <c r="H475" s="326"/>
      <c r="I475" s="316">
        <f t="shared" si="42"/>
        <v>7</v>
      </c>
    </row>
    <row r="476" s="291" customFormat="1" ht="24.95" customHeight="1" spans="1:9">
      <c r="A476" s="310">
        <v>216</v>
      </c>
      <c r="B476" s="311" t="s">
        <v>502</v>
      </c>
      <c r="C476" s="312">
        <f t="shared" ref="C476:C481" si="43">C477</f>
        <v>82</v>
      </c>
      <c r="D476" s="313"/>
      <c r="E476" s="340">
        <f>E477+E479</f>
        <v>61.64</v>
      </c>
      <c r="F476" s="314">
        <f t="shared" si="40"/>
        <v>61.64</v>
      </c>
      <c r="G476" s="315">
        <f t="shared" si="39"/>
        <v>-0.248292682926829</v>
      </c>
      <c r="H476" s="312"/>
      <c r="I476" s="316">
        <f t="shared" si="42"/>
        <v>3</v>
      </c>
    </row>
    <row r="477" s="291" customFormat="1" ht="24.95" customHeight="1" spans="1:9">
      <c r="A477" s="310">
        <v>21602</v>
      </c>
      <c r="B477" s="317" t="s">
        <v>503</v>
      </c>
      <c r="C477" s="318">
        <f t="shared" si="43"/>
        <v>82</v>
      </c>
      <c r="D477" s="318"/>
      <c r="E477" s="341">
        <v>61.64</v>
      </c>
      <c r="F477" s="319">
        <f t="shared" si="40"/>
        <v>61.64</v>
      </c>
      <c r="G477" s="320">
        <f t="shared" si="39"/>
        <v>-0.248292682926829</v>
      </c>
      <c r="H477" s="330"/>
      <c r="I477" s="316">
        <f t="shared" si="42"/>
        <v>5</v>
      </c>
    </row>
    <row r="478" s="291" customFormat="1" ht="24.95" customHeight="1" spans="1:9">
      <c r="A478" s="310">
        <v>2160250</v>
      </c>
      <c r="B478" s="321" t="s">
        <v>65</v>
      </c>
      <c r="C478" s="322">
        <v>82</v>
      </c>
      <c r="D478" s="323"/>
      <c r="E478" s="339">
        <v>61.64</v>
      </c>
      <c r="F478" s="324">
        <f t="shared" si="40"/>
        <v>61.64</v>
      </c>
      <c r="G478" s="325">
        <f t="shared" si="39"/>
        <v>-0.248292682926829</v>
      </c>
      <c r="H478" s="326"/>
      <c r="I478" s="316">
        <f t="shared" si="42"/>
        <v>7</v>
      </c>
    </row>
    <row r="479" s="291" customFormat="1" ht="36.95" customHeight="1" spans="1:9">
      <c r="A479" s="310">
        <v>21605</v>
      </c>
      <c r="B479" s="317" t="s">
        <v>504</v>
      </c>
      <c r="C479" s="318"/>
      <c r="D479" s="318"/>
      <c r="E479" s="318"/>
      <c r="F479" s="319"/>
      <c r="G479" s="333"/>
      <c r="H479" s="330"/>
      <c r="I479" s="316">
        <f t="shared" si="42"/>
        <v>5</v>
      </c>
    </row>
    <row r="480" s="291" customFormat="1" ht="24.95" customHeight="1" spans="1:9">
      <c r="A480" s="310">
        <v>2160505</v>
      </c>
      <c r="B480" s="321" t="s">
        <v>270</v>
      </c>
      <c r="C480" s="322"/>
      <c r="D480" s="323"/>
      <c r="E480" s="322"/>
      <c r="F480" s="324"/>
      <c r="G480" s="328"/>
      <c r="H480" s="326"/>
      <c r="I480" s="316">
        <f t="shared" si="42"/>
        <v>7</v>
      </c>
    </row>
    <row r="481" s="291" customFormat="1" ht="50.1" customHeight="1" spans="1:9">
      <c r="A481" s="310">
        <v>220</v>
      </c>
      <c r="B481" s="311" t="s">
        <v>506</v>
      </c>
      <c r="C481" s="312">
        <f t="shared" si="43"/>
        <v>8002</v>
      </c>
      <c r="D481" s="313"/>
      <c r="E481" s="340">
        <f>E482</f>
        <v>7785.76</v>
      </c>
      <c r="F481" s="314">
        <f t="shared" si="40"/>
        <v>7785.76</v>
      </c>
      <c r="G481" s="315">
        <f t="shared" si="39"/>
        <v>-0.0270232441889527</v>
      </c>
      <c r="H481" s="312"/>
      <c r="I481" s="316">
        <f t="shared" si="42"/>
        <v>3</v>
      </c>
    </row>
    <row r="482" s="291" customFormat="1" ht="24.95" customHeight="1" spans="1:9">
      <c r="A482" s="310">
        <v>22001</v>
      </c>
      <c r="B482" s="317" t="s">
        <v>507</v>
      </c>
      <c r="C482" s="318">
        <f>SUM(C483:C487)</f>
        <v>8002</v>
      </c>
      <c r="D482" s="318"/>
      <c r="E482" s="341">
        <f>SUM(E483:E487)</f>
        <v>7785.76</v>
      </c>
      <c r="F482" s="319">
        <f t="shared" si="40"/>
        <v>7785.76</v>
      </c>
      <c r="G482" s="320">
        <f t="shared" si="39"/>
        <v>-0.0270232441889527</v>
      </c>
      <c r="H482" s="330"/>
      <c r="I482" s="316">
        <f t="shared" si="42"/>
        <v>5</v>
      </c>
    </row>
    <row r="483" s="291" customFormat="1" ht="24.95" customHeight="1" spans="1:9">
      <c r="A483" s="310">
        <v>2200101</v>
      </c>
      <c r="B483" s="321" t="s">
        <v>49</v>
      </c>
      <c r="C483" s="322">
        <v>2095</v>
      </c>
      <c r="D483" s="323"/>
      <c r="E483" s="339">
        <v>2046</v>
      </c>
      <c r="F483" s="324">
        <f t="shared" si="40"/>
        <v>2046</v>
      </c>
      <c r="G483" s="325">
        <f t="shared" si="39"/>
        <v>-0.0233890214797136</v>
      </c>
      <c r="H483" s="326"/>
      <c r="I483" s="316">
        <f t="shared" si="42"/>
        <v>7</v>
      </c>
    </row>
    <row r="484" s="291" customFormat="1" ht="24.95" customHeight="1" spans="1:9">
      <c r="A484" s="310">
        <v>2200102</v>
      </c>
      <c r="B484" s="321" t="s">
        <v>50</v>
      </c>
      <c r="C484" s="322">
        <v>656</v>
      </c>
      <c r="D484" s="323"/>
      <c r="E484" s="339">
        <v>669.75</v>
      </c>
      <c r="F484" s="324">
        <f t="shared" si="40"/>
        <v>669.75</v>
      </c>
      <c r="G484" s="325">
        <f t="shared" si="39"/>
        <v>0.0209603658536586</v>
      </c>
      <c r="H484" s="326"/>
      <c r="I484" s="316">
        <f t="shared" si="42"/>
        <v>7</v>
      </c>
    </row>
    <row r="485" s="291" customFormat="1" ht="24.95" customHeight="1" spans="1:9">
      <c r="A485" s="310">
        <v>2200110</v>
      </c>
      <c r="B485" s="321" t="s">
        <v>508</v>
      </c>
      <c r="C485" s="322">
        <v>812</v>
      </c>
      <c r="D485" s="323"/>
      <c r="E485" s="322"/>
      <c r="F485" s="324">
        <f t="shared" si="40"/>
        <v>0</v>
      </c>
      <c r="G485" s="325">
        <f t="shared" si="39"/>
        <v>-1</v>
      </c>
      <c r="H485" s="326" t="s">
        <v>997</v>
      </c>
      <c r="I485" s="316">
        <f t="shared" si="42"/>
        <v>7</v>
      </c>
    </row>
    <row r="486" s="291" customFormat="1" ht="24.95" customHeight="1" spans="1:9">
      <c r="A486" s="310">
        <v>2200150</v>
      </c>
      <c r="B486" s="321" t="s">
        <v>65</v>
      </c>
      <c r="C486" s="322">
        <v>2510</v>
      </c>
      <c r="D486" s="323"/>
      <c r="E486" s="339">
        <v>2429.01</v>
      </c>
      <c r="F486" s="324">
        <f t="shared" si="40"/>
        <v>2429.01</v>
      </c>
      <c r="G486" s="325">
        <f t="shared" si="39"/>
        <v>-0.0322669322709163</v>
      </c>
      <c r="H486" s="326"/>
      <c r="I486" s="316">
        <f t="shared" si="42"/>
        <v>7</v>
      </c>
    </row>
    <row r="487" s="291" customFormat="1" ht="82.5" customHeight="1" spans="1:9">
      <c r="A487" s="310">
        <v>2200199</v>
      </c>
      <c r="B487" s="321" t="s">
        <v>509</v>
      </c>
      <c r="C487" s="322">
        <v>1929</v>
      </c>
      <c r="D487" s="323"/>
      <c r="E487" s="339">
        <v>2641</v>
      </c>
      <c r="F487" s="324">
        <f t="shared" si="40"/>
        <v>2641</v>
      </c>
      <c r="G487" s="325">
        <f t="shared" si="39"/>
        <v>0.369103162260239</v>
      </c>
      <c r="H487" s="326" t="s">
        <v>1055</v>
      </c>
      <c r="I487" s="316">
        <f t="shared" si="42"/>
        <v>7</v>
      </c>
    </row>
    <row r="488" s="291" customFormat="1" ht="24.95" customHeight="1" spans="1:9">
      <c r="A488" s="310">
        <v>221</v>
      </c>
      <c r="B488" s="311" t="s">
        <v>510</v>
      </c>
      <c r="C488" s="312">
        <f>C489+C491+C494</f>
        <v>240354</v>
      </c>
      <c r="D488" s="313">
        <f>D491</f>
        <v>10093</v>
      </c>
      <c r="E488" s="340">
        <f>E489+E491+E494</f>
        <v>226458.89</v>
      </c>
      <c r="F488" s="314">
        <f t="shared" si="40"/>
        <v>236551.89</v>
      </c>
      <c r="G488" s="315">
        <f t="shared" si="39"/>
        <v>-0.0158187922813849</v>
      </c>
      <c r="H488" s="312"/>
      <c r="I488" s="316">
        <f t="shared" si="42"/>
        <v>3</v>
      </c>
    </row>
    <row r="489" s="291" customFormat="1" ht="24.95" customHeight="1" spans="1:9">
      <c r="A489" s="310">
        <v>22101</v>
      </c>
      <c r="B489" s="317" t="s">
        <v>511</v>
      </c>
      <c r="C489" s="318">
        <f>C490</f>
        <v>8797</v>
      </c>
      <c r="D489" s="318"/>
      <c r="E489" s="341">
        <v>2058.12</v>
      </c>
      <c r="F489" s="319">
        <f t="shared" si="40"/>
        <v>2058.12</v>
      </c>
      <c r="G489" s="320">
        <f t="shared" si="39"/>
        <v>-0.766042969194043</v>
      </c>
      <c r="H489" s="330"/>
      <c r="I489" s="316">
        <f t="shared" si="42"/>
        <v>5</v>
      </c>
    </row>
    <row r="490" s="291" customFormat="1" ht="24.95" customHeight="1" spans="1:9">
      <c r="A490" s="310">
        <v>2210199</v>
      </c>
      <c r="B490" s="321" t="s">
        <v>512</v>
      </c>
      <c r="C490" s="322">
        <v>8797</v>
      </c>
      <c r="D490" s="323"/>
      <c r="E490" s="339">
        <v>2058.12</v>
      </c>
      <c r="F490" s="324">
        <f t="shared" si="40"/>
        <v>2058.12</v>
      </c>
      <c r="G490" s="325">
        <f t="shared" si="39"/>
        <v>-0.766042969194043</v>
      </c>
      <c r="H490" s="326"/>
      <c r="I490" s="316">
        <f t="shared" si="42"/>
        <v>7</v>
      </c>
    </row>
    <row r="491" s="291" customFormat="1" ht="24.95" customHeight="1" spans="1:9">
      <c r="A491" s="310">
        <v>22102</v>
      </c>
      <c r="B491" s="317" t="s">
        <v>514</v>
      </c>
      <c r="C491" s="318">
        <f>SUM(C492:C493)</f>
        <v>231042</v>
      </c>
      <c r="D491" s="318">
        <f>SUM(D492:D493)</f>
        <v>10093</v>
      </c>
      <c r="E491" s="341">
        <v>224058.76</v>
      </c>
      <c r="F491" s="319">
        <f t="shared" si="40"/>
        <v>234151.76</v>
      </c>
      <c r="G491" s="320">
        <f t="shared" si="39"/>
        <v>0.0134597172808408</v>
      </c>
      <c r="H491" s="330"/>
      <c r="I491" s="316">
        <f t="shared" si="42"/>
        <v>5</v>
      </c>
    </row>
    <row r="492" s="291" customFormat="1" ht="40.5" customHeight="1" spans="1:9">
      <c r="A492" s="310">
        <v>2210201</v>
      </c>
      <c r="B492" s="321" t="s">
        <v>515</v>
      </c>
      <c r="C492" s="322">
        <v>70951</v>
      </c>
      <c r="D492" s="323">
        <v>10000</v>
      </c>
      <c r="E492" s="339">
        <v>74836.01</v>
      </c>
      <c r="F492" s="324">
        <f t="shared" si="40"/>
        <v>84836.01</v>
      </c>
      <c r="G492" s="325">
        <f t="shared" si="39"/>
        <v>0.195698580710631</v>
      </c>
      <c r="H492" s="326"/>
      <c r="I492" s="316">
        <f t="shared" si="42"/>
        <v>7</v>
      </c>
    </row>
    <row r="493" s="291" customFormat="1" ht="24.95" customHeight="1" spans="1:9">
      <c r="A493" s="310">
        <v>2210203</v>
      </c>
      <c r="B493" s="321" t="s">
        <v>516</v>
      </c>
      <c r="C493" s="322">
        <v>160091</v>
      </c>
      <c r="D493" s="323">
        <v>93</v>
      </c>
      <c r="E493" s="339">
        <v>149222.75</v>
      </c>
      <c r="F493" s="324">
        <f t="shared" si="40"/>
        <v>149315.75</v>
      </c>
      <c r="G493" s="325">
        <f t="shared" si="39"/>
        <v>-0.0673070316257628</v>
      </c>
      <c r="H493" s="326"/>
      <c r="I493" s="316">
        <f t="shared" si="42"/>
        <v>7</v>
      </c>
    </row>
    <row r="494" s="291" customFormat="1" ht="24.95" customHeight="1" spans="1:9">
      <c r="A494" s="310">
        <v>22103</v>
      </c>
      <c r="B494" s="317" t="s">
        <v>517</v>
      </c>
      <c r="C494" s="318">
        <f>C495</f>
        <v>515</v>
      </c>
      <c r="D494" s="318"/>
      <c r="E494" s="341">
        <v>342.01</v>
      </c>
      <c r="F494" s="319">
        <f t="shared" si="40"/>
        <v>342.01</v>
      </c>
      <c r="G494" s="320">
        <f t="shared" si="39"/>
        <v>-0.335902912621359</v>
      </c>
      <c r="H494" s="330"/>
      <c r="I494" s="316">
        <f t="shared" si="42"/>
        <v>5</v>
      </c>
    </row>
    <row r="495" s="291" customFormat="1" ht="47.1" customHeight="1" spans="1:9">
      <c r="A495" s="310">
        <v>2210399</v>
      </c>
      <c r="B495" s="321" t="s">
        <v>518</v>
      </c>
      <c r="C495" s="322">
        <v>515</v>
      </c>
      <c r="D495" s="323"/>
      <c r="E495" s="348">
        <v>342</v>
      </c>
      <c r="F495" s="324">
        <f t="shared" si="40"/>
        <v>342</v>
      </c>
      <c r="G495" s="325">
        <f t="shared" si="39"/>
        <v>-0.335922330097087</v>
      </c>
      <c r="H495" s="326" t="s">
        <v>1056</v>
      </c>
      <c r="I495" s="316">
        <f t="shared" si="42"/>
        <v>7</v>
      </c>
    </row>
    <row r="496" s="291" customFormat="1" ht="24.95" customHeight="1" spans="1:9">
      <c r="A496" s="310">
        <v>222</v>
      </c>
      <c r="B496" s="311" t="s">
        <v>519</v>
      </c>
      <c r="C496" s="312">
        <v>11372</v>
      </c>
      <c r="D496" s="313"/>
      <c r="E496" s="313">
        <v>11372.4</v>
      </c>
      <c r="F496" s="314">
        <f t="shared" si="40"/>
        <v>11372.4</v>
      </c>
      <c r="G496" s="315">
        <f t="shared" si="39"/>
        <v>3.51741118536086e-5</v>
      </c>
      <c r="H496" s="312"/>
      <c r="I496" s="316">
        <f t="shared" si="42"/>
        <v>3</v>
      </c>
    </row>
    <row r="497" s="291" customFormat="1" ht="24.95" customHeight="1" spans="1:9">
      <c r="A497" s="310">
        <v>22204</v>
      </c>
      <c r="B497" s="317" t="s">
        <v>520</v>
      </c>
      <c r="C497" s="318">
        <v>11372</v>
      </c>
      <c r="D497" s="318"/>
      <c r="E497" s="318">
        <v>11372.4</v>
      </c>
      <c r="F497" s="319">
        <f t="shared" si="40"/>
        <v>11372.4</v>
      </c>
      <c r="G497" s="320">
        <f t="shared" si="39"/>
        <v>3.51741118536086e-5</v>
      </c>
      <c r="H497" s="330"/>
      <c r="I497" s="316">
        <f t="shared" si="42"/>
        <v>5</v>
      </c>
    </row>
    <row r="498" s="291" customFormat="1" ht="24.95" customHeight="1" spans="1:9">
      <c r="A498" s="310">
        <v>2220401</v>
      </c>
      <c r="B498" s="321" t="s">
        <v>521</v>
      </c>
      <c r="C498" s="322">
        <v>11372</v>
      </c>
      <c r="D498" s="323"/>
      <c r="E498" s="322">
        <v>11372.4</v>
      </c>
      <c r="F498" s="324">
        <f t="shared" si="40"/>
        <v>11372.4</v>
      </c>
      <c r="G498" s="325">
        <f t="shared" si="39"/>
        <v>3.51741118536086e-5</v>
      </c>
      <c r="H498" s="326"/>
      <c r="I498" s="316">
        <f t="shared" si="42"/>
        <v>7</v>
      </c>
    </row>
    <row r="499" s="291" customFormat="1" ht="48.95" customHeight="1" spans="1:9">
      <c r="A499" s="310">
        <v>224</v>
      </c>
      <c r="B499" s="311" t="s">
        <v>522</v>
      </c>
      <c r="C499" s="312">
        <f>C500+C506+C511+C513+C515</f>
        <v>60297</v>
      </c>
      <c r="D499" s="313"/>
      <c r="E499" s="313">
        <f>E500+E506+E511+E513+E515</f>
        <v>50309.19</v>
      </c>
      <c r="F499" s="314">
        <f t="shared" si="40"/>
        <v>50309.19</v>
      </c>
      <c r="G499" s="315">
        <f t="shared" si="39"/>
        <v>-0.165643564356436</v>
      </c>
      <c r="H499" s="312"/>
      <c r="I499" s="316">
        <f t="shared" si="42"/>
        <v>3</v>
      </c>
    </row>
    <row r="500" s="291" customFormat="1" ht="24.95" customHeight="1" spans="1:9">
      <c r="A500" s="310">
        <v>22401</v>
      </c>
      <c r="B500" s="317" t="s">
        <v>523</v>
      </c>
      <c r="C500" s="318">
        <f>SUM(C501:C505)</f>
        <v>40451</v>
      </c>
      <c r="D500" s="318"/>
      <c r="E500" s="318">
        <f>SUM(E501:E505)</f>
        <v>38570.62</v>
      </c>
      <c r="F500" s="319">
        <f t="shared" si="40"/>
        <v>38570.62</v>
      </c>
      <c r="G500" s="320">
        <f t="shared" si="39"/>
        <v>-0.0464853773701515</v>
      </c>
      <c r="H500" s="330"/>
      <c r="I500" s="316">
        <f t="shared" si="42"/>
        <v>5</v>
      </c>
    </row>
    <row r="501" s="291" customFormat="1" ht="24.95" customHeight="1" spans="1:9">
      <c r="A501" s="310">
        <v>2240101</v>
      </c>
      <c r="B501" s="321" t="s">
        <v>49</v>
      </c>
      <c r="C501" s="322">
        <v>3265</v>
      </c>
      <c r="D501" s="323"/>
      <c r="E501" s="322">
        <v>3211</v>
      </c>
      <c r="F501" s="324">
        <f t="shared" si="40"/>
        <v>3211</v>
      </c>
      <c r="G501" s="325">
        <f t="shared" si="39"/>
        <v>-0.0165390505359877</v>
      </c>
      <c r="H501" s="326"/>
      <c r="I501" s="316">
        <f t="shared" si="42"/>
        <v>7</v>
      </c>
    </row>
    <row r="502" s="291" customFormat="1" ht="24.95" customHeight="1" spans="1:9">
      <c r="A502" s="310">
        <v>2240102</v>
      </c>
      <c r="B502" s="321" t="s">
        <v>50</v>
      </c>
      <c r="C502" s="322">
        <v>710</v>
      </c>
      <c r="D502" s="323"/>
      <c r="E502" s="322">
        <v>999.19</v>
      </c>
      <c r="F502" s="324">
        <f t="shared" si="40"/>
        <v>999.19</v>
      </c>
      <c r="G502" s="325">
        <f t="shared" si="39"/>
        <v>0.40730985915493</v>
      </c>
      <c r="H502" s="326"/>
      <c r="I502" s="316">
        <f t="shared" si="42"/>
        <v>7</v>
      </c>
    </row>
    <row r="503" s="291" customFormat="1" ht="98.25" customHeight="1" spans="1:9">
      <c r="A503" s="310">
        <v>2240106</v>
      </c>
      <c r="B503" s="321" t="s">
        <v>526</v>
      </c>
      <c r="C503" s="322">
        <v>36042</v>
      </c>
      <c r="D503" s="323"/>
      <c r="E503" s="322">
        <v>32707.9</v>
      </c>
      <c r="F503" s="324">
        <f t="shared" si="40"/>
        <v>32707.9</v>
      </c>
      <c r="G503" s="325">
        <f t="shared" si="39"/>
        <v>-0.092505965262749</v>
      </c>
      <c r="H503" s="326" t="s">
        <v>1057</v>
      </c>
      <c r="I503" s="316">
        <f t="shared" si="42"/>
        <v>7</v>
      </c>
    </row>
    <row r="504" s="291" customFormat="1" ht="24.95" customHeight="1" spans="1:9">
      <c r="A504" s="310">
        <v>2240108</v>
      </c>
      <c r="B504" s="321" t="s">
        <v>528</v>
      </c>
      <c r="C504" s="322">
        <v>164</v>
      </c>
      <c r="D504" s="323"/>
      <c r="E504" s="334"/>
      <c r="F504" s="324">
        <f t="shared" si="40"/>
        <v>0</v>
      </c>
      <c r="G504" s="325">
        <f t="shared" si="39"/>
        <v>-1</v>
      </c>
      <c r="H504" s="326"/>
      <c r="I504" s="316">
        <f t="shared" si="42"/>
        <v>7</v>
      </c>
    </row>
    <row r="505" s="291" customFormat="1" ht="24.95" customHeight="1" spans="1:9">
      <c r="A505" s="310">
        <v>2240109</v>
      </c>
      <c r="B505" s="321" t="s">
        <v>529</v>
      </c>
      <c r="C505" s="322">
        <v>270</v>
      </c>
      <c r="D505" s="323"/>
      <c r="E505" s="322">
        <v>1652.53</v>
      </c>
      <c r="F505" s="324">
        <f t="shared" si="40"/>
        <v>1652.53</v>
      </c>
      <c r="G505" s="325">
        <f t="shared" si="39"/>
        <v>5.12048148148148</v>
      </c>
      <c r="H505" s="326"/>
      <c r="I505" s="316">
        <f t="shared" si="42"/>
        <v>7</v>
      </c>
    </row>
    <row r="506" s="291" customFormat="1" ht="24.95" customHeight="1" spans="1:9">
      <c r="A506" s="310">
        <v>22402</v>
      </c>
      <c r="B506" s="317" t="s">
        <v>530</v>
      </c>
      <c r="C506" s="318">
        <f>SUM(C507:C510)</f>
        <v>19482</v>
      </c>
      <c r="D506" s="318"/>
      <c r="E506" s="318">
        <f>SUM(E507:E510)</f>
        <v>11395.5</v>
      </c>
      <c r="F506" s="319">
        <f t="shared" si="40"/>
        <v>11395.5</v>
      </c>
      <c r="G506" s="320">
        <f t="shared" si="39"/>
        <v>-0.415075454265476</v>
      </c>
      <c r="H506" s="330"/>
      <c r="I506" s="316">
        <f t="shared" si="42"/>
        <v>5</v>
      </c>
    </row>
    <row r="507" s="291" customFormat="1" ht="24.95" customHeight="1" spans="1:9">
      <c r="A507" s="310">
        <v>2240201</v>
      </c>
      <c r="B507" s="321" t="s">
        <v>49</v>
      </c>
      <c r="C507" s="322">
        <v>615</v>
      </c>
      <c r="D507" s="323"/>
      <c r="E507" s="322">
        <v>751.95</v>
      </c>
      <c r="F507" s="324">
        <f t="shared" si="40"/>
        <v>751.95</v>
      </c>
      <c r="G507" s="325">
        <f t="shared" si="39"/>
        <v>0.222682926829268</v>
      </c>
      <c r="H507" s="326"/>
      <c r="I507" s="316">
        <f t="shared" si="42"/>
        <v>7</v>
      </c>
    </row>
    <row r="508" s="291" customFormat="1" ht="24.95" customHeight="1" spans="1:9">
      <c r="A508" s="310">
        <v>2240202</v>
      </c>
      <c r="B508" s="321" t="s">
        <v>532</v>
      </c>
      <c r="C508" s="322">
        <v>53</v>
      </c>
      <c r="D508" s="323"/>
      <c r="E508" s="322"/>
      <c r="F508" s="324">
        <f t="shared" si="40"/>
        <v>0</v>
      </c>
      <c r="G508" s="325">
        <f t="shared" si="39"/>
        <v>-1</v>
      </c>
      <c r="H508" s="326"/>
      <c r="I508" s="316"/>
    </row>
    <row r="509" s="291" customFormat="1" ht="24.95" customHeight="1" spans="1:9">
      <c r="A509" s="310">
        <v>2240204</v>
      </c>
      <c r="B509" s="321" t="s">
        <v>534</v>
      </c>
      <c r="C509" s="349">
        <v>4543</v>
      </c>
      <c r="D509" s="323"/>
      <c r="E509" s="322">
        <v>6135.55</v>
      </c>
      <c r="F509" s="324">
        <f t="shared" si="40"/>
        <v>6135.55</v>
      </c>
      <c r="G509" s="325">
        <f t="shared" si="39"/>
        <v>0.350550297160467</v>
      </c>
      <c r="H509" s="326"/>
      <c r="I509" s="316">
        <f>LEN(A509)</f>
        <v>7</v>
      </c>
    </row>
    <row r="510" s="291" customFormat="1" ht="47.25" customHeight="1" spans="1:9">
      <c r="A510" s="310">
        <v>2240299</v>
      </c>
      <c r="B510" s="321" t="s">
        <v>535</v>
      </c>
      <c r="C510" s="322">
        <v>14271</v>
      </c>
      <c r="D510" s="323"/>
      <c r="E510" s="322">
        <v>4508</v>
      </c>
      <c r="F510" s="324">
        <f t="shared" si="40"/>
        <v>4508</v>
      </c>
      <c r="G510" s="325">
        <f t="shared" si="39"/>
        <v>-0.68411463807722</v>
      </c>
      <c r="H510" s="326" t="s">
        <v>1058</v>
      </c>
      <c r="I510" s="316">
        <f>LEN(A510)</f>
        <v>7</v>
      </c>
    </row>
    <row r="511" s="291" customFormat="1" ht="24.95" customHeight="1" spans="1:9">
      <c r="A511" s="310">
        <v>22403</v>
      </c>
      <c r="B511" s="317" t="s">
        <v>537</v>
      </c>
      <c r="C511" s="318">
        <f>C512</f>
        <v>241</v>
      </c>
      <c r="D511" s="318"/>
      <c r="E511" s="318">
        <v>182</v>
      </c>
      <c r="F511" s="319">
        <f t="shared" si="40"/>
        <v>182</v>
      </c>
      <c r="G511" s="320">
        <f t="shared" si="39"/>
        <v>-0.244813278008299</v>
      </c>
      <c r="H511" s="330"/>
      <c r="I511" s="316">
        <v>5</v>
      </c>
    </row>
    <row r="512" s="291" customFormat="1" ht="24.95" customHeight="1" spans="1:9">
      <c r="A512" s="310">
        <v>2240399</v>
      </c>
      <c r="B512" s="321" t="s">
        <v>538</v>
      </c>
      <c r="C512" s="322">
        <v>241</v>
      </c>
      <c r="D512" s="323"/>
      <c r="E512" s="322">
        <v>182</v>
      </c>
      <c r="F512" s="324">
        <f t="shared" si="40"/>
        <v>182</v>
      </c>
      <c r="G512" s="325">
        <f t="shared" si="39"/>
        <v>-0.244813278008299</v>
      </c>
      <c r="H512" s="326"/>
      <c r="I512" s="316">
        <v>7</v>
      </c>
    </row>
    <row r="513" s="291" customFormat="1" ht="24.95" customHeight="1" spans="1:9">
      <c r="A513" s="310">
        <v>22406</v>
      </c>
      <c r="B513" s="317" t="s">
        <v>540</v>
      </c>
      <c r="C513" s="318">
        <f>C514</f>
        <v>117</v>
      </c>
      <c r="D513" s="318"/>
      <c r="E513" s="318">
        <v>161.07</v>
      </c>
      <c r="F513" s="319">
        <f t="shared" si="40"/>
        <v>161.07</v>
      </c>
      <c r="G513" s="320">
        <f t="shared" si="39"/>
        <v>0.376666666666667</v>
      </c>
      <c r="H513" s="330"/>
      <c r="I513" s="316">
        <v>5</v>
      </c>
    </row>
    <row r="514" s="291" customFormat="1" ht="24.95" customHeight="1" spans="1:9">
      <c r="A514" s="310">
        <v>2240699</v>
      </c>
      <c r="B514" s="321" t="s">
        <v>541</v>
      </c>
      <c r="C514" s="322">
        <v>117</v>
      </c>
      <c r="D514" s="323"/>
      <c r="E514" s="322">
        <v>161.07</v>
      </c>
      <c r="F514" s="324">
        <f t="shared" si="40"/>
        <v>161.07</v>
      </c>
      <c r="G514" s="325">
        <f t="shared" si="39"/>
        <v>0.376666666666667</v>
      </c>
      <c r="H514" s="326"/>
      <c r="I514" s="316">
        <v>7</v>
      </c>
    </row>
    <row r="515" s="291" customFormat="1" ht="54.95" customHeight="1" spans="1:9">
      <c r="A515" s="310">
        <v>22499</v>
      </c>
      <c r="B515" s="317" t="s">
        <v>543</v>
      </c>
      <c r="C515" s="318">
        <v>6</v>
      </c>
      <c r="D515" s="318"/>
      <c r="E515" s="318"/>
      <c r="F515" s="319">
        <f t="shared" si="40"/>
        <v>0</v>
      </c>
      <c r="G515" s="320">
        <f t="shared" si="39"/>
        <v>-1</v>
      </c>
      <c r="H515" s="330"/>
      <c r="I515" s="316">
        <v>5</v>
      </c>
    </row>
    <row r="516" s="291" customFormat="1" ht="24.95" customHeight="1" spans="1:9">
      <c r="A516" s="310">
        <v>227</v>
      </c>
      <c r="B516" s="311" t="s">
        <v>545</v>
      </c>
      <c r="C516" s="312">
        <v>0</v>
      </c>
      <c r="D516" s="313">
        <v>35000</v>
      </c>
      <c r="E516" s="313"/>
      <c r="F516" s="314">
        <f t="shared" si="40"/>
        <v>35000</v>
      </c>
      <c r="G516" s="315"/>
      <c r="H516" s="350"/>
      <c r="I516" s="316">
        <f>LEN(A516)</f>
        <v>3</v>
      </c>
    </row>
    <row r="517" s="291" customFormat="1" ht="24.95" customHeight="1" spans="1:9">
      <c r="A517" s="310">
        <v>229</v>
      </c>
      <c r="B517" s="311" t="s">
        <v>546</v>
      </c>
      <c r="C517" s="312">
        <f>C518+C522</f>
        <v>23743</v>
      </c>
      <c r="D517" s="313">
        <f>D518+D522</f>
        <v>132179</v>
      </c>
      <c r="E517" s="313">
        <f>E518+E522</f>
        <v>817</v>
      </c>
      <c r="F517" s="314">
        <f t="shared" si="40"/>
        <v>132996</v>
      </c>
      <c r="G517" s="315">
        <f t="shared" si="39"/>
        <v>4.60148254222297</v>
      </c>
      <c r="H517" s="312"/>
      <c r="I517" s="316">
        <f>LEN(A517)</f>
        <v>3</v>
      </c>
    </row>
    <row r="518" s="291" customFormat="1" ht="44.1" customHeight="1" spans="1:9">
      <c r="A518" s="310">
        <v>22960</v>
      </c>
      <c r="B518" s="330" t="s">
        <v>1059</v>
      </c>
      <c r="C518" s="351">
        <v>0</v>
      </c>
      <c r="D518" s="318"/>
      <c r="E518" s="318">
        <v>249</v>
      </c>
      <c r="F518" s="319">
        <f t="shared" si="40"/>
        <v>249</v>
      </c>
      <c r="G518" s="320"/>
      <c r="H518" s="318"/>
      <c r="I518" s="316">
        <v>5</v>
      </c>
    </row>
    <row r="519" s="291" customFormat="1" ht="44.1" customHeight="1" spans="1:9">
      <c r="A519" s="310">
        <v>2296002</v>
      </c>
      <c r="B519" s="329" t="s">
        <v>1060</v>
      </c>
      <c r="C519" s="322">
        <v>0</v>
      </c>
      <c r="D519" s="323"/>
      <c r="E519" s="322">
        <v>249</v>
      </c>
      <c r="F519" s="324">
        <f t="shared" si="40"/>
        <v>249</v>
      </c>
      <c r="G519" s="325"/>
      <c r="H519" s="322"/>
      <c r="I519" s="316">
        <v>7</v>
      </c>
    </row>
    <row r="520" s="291" customFormat="1" ht="44.1" customHeight="1" spans="1:9">
      <c r="A520" s="310">
        <v>2296003</v>
      </c>
      <c r="B520" s="329" t="s">
        <v>1061</v>
      </c>
      <c r="C520" s="322"/>
      <c r="D520" s="323"/>
      <c r="E520" s="322"/>
      <c r="F520" s="324"/>
      <c r="G520" s="325"/>
      <c r="H520" s="322"/>
      <c r="I520" s="316">
        <v>7</v>
      </c>
    </row>
    <row r="521" s="291" customFormat="1" ht="44.1" customHeight="1" spans="1:9">
      <c r="A521" s="310">
        <v>2296006</v>
      </c>
      <c r="B521" s="329" t="s">
        <v>1062</v>
      </c>
      <c r="C521" s="322"/>
      <c r="D521" s="323"/>
      <c r="E521" s="322"/>
      <c r="F521" s="324"/>
      <c r="G521" s="325"/>
      <c r="H521" s="322"/>
      <c r="I521" s="316">
        <v>7</v>
      </c>
    </row>
    <row r="522" s="291" customFormat="1" ht="24.95" customHeight="1" spans="1:9">
      <c r="A522" s="310">
        <v>22999</v>
      </c>
      <c r="B522" s="317" t="s">
        <v>1063</v>
      </c>
      <c r="C522" s="318">
        <f>C523</f>
        <v>23743</v>
      </c>
      <c r="D522" s="318">
        <f>D523</f>
        <v>132179</v>
      </c>
      <c r="E522" s="318">
        <f>E523</f>
        <v>568</v>
      </c>
      <c r="F522" s="319">
        <f t="shared" ref="F522:F528" si="44">D522+E522</f>
        <v>132747</v>
      </c>
      <c r="G522" s="320">
        <f t="shared" ref="G522:G539" si="45">F522/C522-1</f>
        <v>4.59099524070252</v>
      </c>
      <c r="H522" s="352"/>
      <c r="I522" s="316">
        <f t="shared" ref="I522:I527" si="46">LEN(A522)</f>
        <v>5</v>
      </c>
    </row>
    <row r="523" s="291" customFormat="1" ht="87" customHeight="1" spans="1:9">
      <c r="A523" s="310">
        <v>2299901</v>
      </c>
      <c r="B523" s="321" t="s">
        <v>548</v>
      </c>
      <c r="C523" s="322">
        <v>23743</v>
      </c>
      <c r="D523" s="323">
        <f>119800+39900-27521</f>
        <v>132179</v>
      </c>
      <c r="E523" s="322">
        <v>568</v>
      </c>
      <c r="F523" s="324">
        <f t="shared" si="44"/>
        <v>132747</v>
      </c>
      <c r="G523" s="325">
        <f t="shared" si="45"/>
        <v>4.59099524070252</v>
      </c>
      <c r="H523" s="326" t="s">
        <v>1064</v>
      </c>
      <c r="I523" s="316">
        <f t="shared" si="46"/>
        <v>7</v>
      </c>
    </row>
    <row r="524" s="291" customFormat="1" ht="24.95" customHeight="1" spans="1:9">
      <c r="A524" s="310">
        <v>232</v>
      </c>
      <c r="B524" s="311" t="s">
        <v>550</v>
      </c>
      <c r="C524" s="312">
        <v>1905</v>
      </c>
      <c r="D524" s="313">
        <v>2000</v>
      </c>
      <c r="E524" s="313"/>
      <c r="F524" s="314">
        <f t="shared" si="44"/>
        <v>2000</v>
      </c>
      <c r="G524" s="315">
        <f t="shared" si="45"/>
        <v>0.0498687664041995</v>
      </c>
      <c r="H524" s="353"/>
      <c r="I524" s="316">
        <f t="shared" si="46"/>
        <v>3</v>
      </c>
    </row>
    <row r="525" s="291" customFormat="1" ht="45" customHeight="1" spans="1:9">
      <c r="A525" s="310">
        <v>23203</v>
      </c>
      <c r="B525" s="317" t="s">
        <v>551</v>
      </c>
      <c r="C525" s="318">
        <v>1905</v>
      </c>
      <c r="D525" s="318">
        <v>2000</v>
      </c>
      <c r="E525" s="318"/>
      <c r="F525" s="319">
        <f t="shared" si="44"/>
        <v>2000</v>
      </c>
      <c r="G525" s="320">
        <f t="shared" si="45"/>
        <v>0.0498687664041995</v>
      </c>
      <c r="H525" s="352"/>
      <c r="I525" s="316">
        <f t="shared" si="46"/>
        <v>5</v>
      </c>
    </row>
    <row r="526" s="291" customFormat="1" ht="24.95" customHeight="1" spans="1:9">
      <c r="A526" s="310">
        <v>2320301</v>
      </c>
      <c r="B526" s="321" t="s">
        <v>552</v>
      </c>
      <c r="C526" s="322">
        <v>1905</v>
      </c>
      <c r="D526" s="323">
        <v>2000</v>
      </c>
      <c r="E526" s="322"/>
      <c r="F526" s="324">
        <f t="shared" si="44"/>
        <v>2000</v>
      </c>
      <c r="G526" s="325">
        <f t="shared" si="45"/>
        <v>0.0498687664041995</v>
      </c>
      <c r="H526" s="354"/>
      <c r="I526" s="316">
        <f t="shared" si="46"/>
        <v>7</v>
      </c>
    </row>
    <row r="527" s="291" customFormat="1" ht="48" customHeight="1" spans="1:9">
      <c r="A527" s="310">
        <v>2320304</v>
      </c>
      <c r="B527" s="321" t="s">
        <v>553</v>
      </c>
      <c r="C527" s="324"/>
      <c r="D527" s="323"/>
      <c r="E527" s="322"/>
      <c r="F527" s="324"/>
      <c r="G527" s="325"/>
      <c r="H527" s="354"/>
      <c r="I527" s="316">
        <f t="shared" si="46"/>
        <v>7</v>
      </c>
    </row>
    <row r="528" s="291" customFormat="1" ht="24.95" customHeight="1" spans="1:9">
      <c r="A528" s="355"/>
      <c r="B528" s="311" t="s">
        <v>554</v>
      </c>
      <c r="C528" s="314">
        <f>C5+C138+C143+C187+C217+C237+C270+C342+C385+C401+C421+C453+C459+C476+C481+C488+C496+C499+C516+C517+C524</f>
        <v>3569107</v>
      </c>
      <c r="D528" s="312">
        <f>D5+D138+D143+D187+D217+D237+D270+D342+D385+D401+D421+D453+D459+D476+D481+D488+D496+D499+D516+D517+D524</f>
        <v>328003.8</v>
      </c>
      <c r="E528" s="312">
        <f>E5+E138+E143+E187+E217+E237+E270+E342+E385+E401+E421+E453+E459+E476+E481+E488+E496+E499+E517</f>
        <v>3132669.14</v>
      </c>
      <c r="F528" s="314">
        <f t="shared" si="44"/>
        <v>3460672.94</v>
      </c>
      <c r="G528" s="315">
        <f t="shared" si="45"/>
        <v>-0.0303812858510545</v>
      </c>
      <c r="H528" s="313"/>
      <c r="I528" s="316">
        <v>3</v>
      </c>
    </row>
    <row r="529" s="291" customFormat="1" ht="24.95" customHeight="1" spans="1:9">
      <c r="B529" s="311" t="s">
        <v>555</v>
      </c>
      <c r="C529" s="356">
        <f t="shared" ref="C529:F529" si="47">C530+C531</f>
        <v>584218</v>
      </c>
      <c r="D529" s="357">
        <f t="shared" si="47"/>
        <v>0</v>
      </c>
      <c r="E529" s="357">
        <f t="shared" si="47"/>
        <v>0</v>
      </c>
      <c r="F529" s="356">
        <f t="shared" si="47"/>
        <v>294100</v>
      </c>
      <c r="G529" s="315">
        <f t="shared" si="45"/>
        <v>-0.496592025579493</v>
      </c>
      <c r="H529" s="358"/>
      <c r="I529" s="316">
        <v>3</v>
      </c>
    </row>
    <row r="530" s="291" customFormat="1" ht="24.95" customHeight="1" spans="1:9">
      <c r="B530" s="359" t="s">
        <v>556</v>
      </c>
      <c r="C530" s="319">
        <v>243759</v>
      </c>
      <c r="D530" s="318"/>
      <c r="E530" s="318"/>
      <c r="F530" s="319">
        <v>294100</v>
      </c>
      <c r="G530" s="320">
        <f t="shared" si="45"/>
        <v>0.206519554149796</v>
      </c>
      <c r="H530" s="360"/>
      <c r="I530" s="316">
        <v>3</v>
      </c>
    </row>
    <row r="531" s="291" customFormat="1" ht="24.95" customHeight="1" spans="1:9">
      <c r="B531" s="361" t="s">
        <v>557</v>
      </c>
      <c r="C531" s="324">
        <v>340459</v>
      </c>
      <c r="D531" s="322"/>
      <c r="E531" s="322"/>
      <c r="F531" s="324">
        <f>D531+E531</f>
        <v>0</v>
      </c>
      <c r="G531" s="325">
        <f t="shared" si="45"/>
        <v>-1</v>
      </c>
      <c r="H531" s="362"/>
      <c r="I531" s="316">
        <v>3</v>
      </c>
    </row>
    <row r="532" s="291" customFormat="1" ht="24.95" customHeight="1" spans="1:9">
      <c r="B532" s="363" t="s">
        <v>1065</v>
      </c>
      <c r="C532" s="324">
        <v>340459</v>
      </c>
      <c r="D532" s="322"/>
      <c r="E532" s="322"/>
      <c r="F532" s="324">
        <f>D532+E532</f>
        <v>0</v>
      </c>
      <c r="G532" s="325">
        <f t="shared" si="45"/>
        <v>-1</v>
      </c>
      <c r="H532" s="362"/>
      <c r="I532" s="316">
        <v>3</v>
      </c>
    </row>
    <row r="533" s="291" customFormat="1" ht="24.95" customHeight="1" spans="1:9">
      <c r="B533" s="363" t="s">
        <v>559</v>
      </c>
      <c r="C533" s="324"/>
      <c r="D533" s="323"/>
      <c r="E533" s="322"/>
      <c r="F533" s="324"/>
      <c r="G533" s="325"/>
      <c r="H533" s="362"/>
      <c r="I533" s="316">
        <v>3</v>
      </c>
    </row>
    <row r="534" s="291" customFormat="1" ht="24.95" customHeight="1" spans="1:9">
      <c r="B534" s="363" t="s">
        <v>560</v>
      </c>
      <c r="C534" s="324"/>
      <c r="D534" s="323"/>
      <c r="E534" s="322"/>
      <c r="F534" s="324"/>
      <c r="G534" s="325"/>
      <c r="H534" s="362"/>
      <c r="I534" s="316">
        <v>3</v>
      </c>
    </row>
    <row r="535" s="291" customFormat="1" ht="24.95" customHeight="1" spans="1:9">
      <c r="B535" s="361" t="s">
        <v>561</v>
      </c>
      <c r="C535" s="324"/>
      <c r="D535" s="323"/>
      <c r="E535" s="322"/>
      <c r="F535" s="324"/>
      <c r="G535" s="325"/>
      <c r="H535" s="362"/>
      <c r="I535" s="316">
        <v>3</v>
      </c>
    </row>
    <row r="536" s="291" customFormat="1" ht="42.95" customHeight="1" spans="1:9">
      <c r="B536" s="363" t="s">
        <v>1066</v>
      </c>
      <c r="C536" s="324"/>
      <c r="D536" s="323"/>
      <c r="E536" s="322"/>
      <c r="F536" s="324"/>
      <c r="G536" s="325"/>
      <c r="H536" s="364"/>
      <c r="I536" s="316">
        <v>3</v>
      </c>
    </row>
    <row r="537" s="291" customFormat="1" ht="42.95" customHeight="1" spans="1:9">
      <c r="B537" s="363" t="s">
        <v>1067</v>
      </c>
      <c r="C537" s="324"/>
      <c r="D537" s="323"/>
      <c r="E537" s="322"/>
      <c r="F537" s="324"/>
      <c r="G537" s="325"/>
      <c r="H537" s="362"/>
      <c r="I537" s="316">
        <v>3</v>
      </c>
    </row>
    <row r="538" s="291" customFormat="1" ht="24.95" customHeight="1" spans="1:9">
      <c r="B538" s="363" t="s">
        <v>564</v>
      </c>
      <c r="C538" s="324"/>
      <c r="D538" s="323"/>
      <c r="E538" s="322"/>
      <c r="F538" s="324"/>
      <c r="G538" s="325"/>
      <c r="H538" s="362"/>
      <c r="I538" s="316">
        <v>3</v>
      </c>
    </row>
    <row r="539" s="291" customFormat="1" ht="24.95" customHeight="1" spans="1:9">
      <c r="B539" s="365" t="s">
        <v>565</v>
      </c>
      <c r="C539" s="366">
        <f t="shared" ref="C539:F539" si="48">C528+C529</f>
        <v>4153325</v>
      </c>
      <c r="D539" s="367">
        <f t="shared" si="48"/>
        <v>328003.8</v>
      </c>
      <c r="E539" s="367">
        <f t="shared" si="48"/>
        <v>3132669.14</v>
      </c>
      <c r="F539" s="366">
        <f t="shared" si="48"/>
        <v>3754772.94</v>
      </c>
      <c r="G539" s="368">
        <f t="shared" si="45"/>
        <v>-0.0959597575436547</v>
      </c>
      <c r="H539" s="369"/>
      <c r="I539" s="316">
        <v>3</v>
      </c>
    </row>
    <row r="540" s="292" customFormat="1" customHeight="1" spans="1:9">
      <c r="A540" s="291"/>
      <c r="B540" s="293"/>
      <c r="C540" s="290"/>
      <c r="D540" s="370"/>
      <c r="E540" s="290"/>
      <c r="F540" s="371"/>
      <c r="G540" s="290"/>
      <c r="H540" s="296"/>
      <c r="I540" s="291"/>
    </row>
  </sheetData>
  <autoFilter xmlns:etc="http://www.wps.cn/officeDocument/2017/etCustomData" ref="A4:I539" etc:filterBottomFollowUsedRange="0">
    <extLst/>
  </autoFilter>
  <mergeCells count="1">
    <mergeCell ref="B2:H2"/>
  </mergeCells>
  <printOptions horizontalCentered="1"/>
  <pageMargins left="0.59" right="0.59" top="0.79" bottom="0.79" header="0.16" footer="0.12"/>
  <pageSetup paperSize="9" scale="65"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7"/>
  <sheetViews>
    <sheetView zoomScale="70" zoomScaleNormal="70" zoomScaleSheetLayoutView="60" topLeftCell="B1" workbookViewId="0">
      <pane ySplit="5" topLeftCell="A6" activePane="bottomLeft" state="frozen"/>
      <selection/>
      <selection pane="bottomLeft" activeCell="H47" sqref="H47"/>
    </sheetView>
  </sheetViews>
  <sheetFormatPr defaultColWidth="9" defaultRowHeight="12"/>
  <cols>
    <col min="1" max="1" width="14.375" style="239" hidden="1" customWidth="1"/>
    <col min="2" max="2" width="31.375" style="240" customWidth="1"/>
    <col min="3" max="3" width="15" style="241" customWidth="1"/>
    <col min="4" max="4" width="19.375" style="242" customWidth="1"/>
    <col min="5" max="5" width="18.875" style="243" customWidth="1"/>
    <col min="6" max="6" width="22.75" style="242" customWidth="1"/>
    <col min="7" max="7" width="45.625" style="243" customWidth="1"/>
    <col min="8" max="8" width="14.375" style="244" customWidth="1"/>
    <col min="9" max="9" width="15.875" style="241" customWidth="1"/>
    <col min="10" max="10" width="15.375" style="241" customWidth="1"/>
    <col min="11" max="11" width="20" style="240" customWidth="1"/>
    <col min="12" max="12" width="13.125" style="240" customWidth="1"/>
    <col min="13" max="13" width="12" style="240" customWidth="1"/>
    <col min="14" max="16384" width="9" style="240"/>
  </cols>
  <sheetData>
    <row r="1" ht="17.25" spans="1:13">
      <c r="A1" s="245"/>
      <c r="B1" s="246" t="s">
        <v>1068</v>
      </c>
    </row>
    <row r="2" ht="59.1" customHeight="1" spans="1:13">
      <c r="A2" s="247" t="s">
        <v>1069</v>
      </c>
      <c r="B2" s="248"/>
      <c r="C2" s="248"/>
      <c r="D2" s="249"/>
      <c r="E2" s="250"/>
      <c r="F2" s="249"/>
      <c r="G2" s="250"/>
      <c r="H2" s="251"/>
      <c r="I2" s="248"/>
      <c r="J2" s="248"/>
      <c r="K2" s="248"/>
      <c r="L2" s="248"/>
    </row>
    <row r="3" ht="9" customHeight="1" spans="1:13">
      <c r="A3" s="252"/>
      <c r="B3" s="253"/>
      <c r="C3" s="253"/>
      <c r="D3" s="254"/>
      <c r="E3" s="255"/>
      <c r="F3" s="254"/>
      <c r="G3" s="255"/>
      <c r="H3" s="256"/>
      <c r="I3" s="253"/>
      <c r="J3" s="253"/>
      <c r="K3" s="253"/>
      <c r="L3" s="253"/>
    </row>
    <row r="4" ht="17.25" spans="1:13">
      <c r="K4" s="257" t="s">
        <v>38</v>
      </c>
      <c r="L4" s="257" t="s">
        <v>38</v>
      </c>
    </row>
    <row r="5" ht="34.5" spans="1:13">
      <c r="A5" s="258" t="s">
        <v>39</v>
      </c>
      <c r="B5" s="259" t="s">
        <v>568</v>
      </c>
      <c r="C5" s="260" t="s">
        <v>6</v>
      </c>
      <c r="D5" s="261" t="s">
        <v>1070</v>
      </c>
      <c r="E5" s="262" t="s">
        <v>1071</v>
      </c>
      <c r="F5" s="261" t="s">
        <v>1072</v>
      </c>
      <c r="G5" s="262" t="s">
        <v>1073</v>
      </c>
      <c r="H5" s="263" t="s">
        <v>1074</v>
      </c>
      <c r="I5" s="260" t="s">
        <v>1075</v>
      </c>
      <c r="J5" s="260" t="s">
        <v>1076</v>
      </c>
      <c r="K5" s="264" t="s">
        <v>920</v>
      </c>
      <c r="L5" s="264" t="s">
        <v>569</v>
      </c>
    </row>
    <row r="6" ht="27" customHeight="1" spans="1:13">
      <c r="A6" s="265"/>
      <c r="B6" s="266" t="s">
        <v>570</v>
      </c>
      <c r="C6" s="267">
        <f>C7+C12+C23+C31+C38+C42+C45+C48+C51+C59+C64</f>
        <v>3569107.473359</v>
      </c>
      <c r="D6" s="268">
        <f>D7+D12+D38+D51</f>
        <v>52450</v>
      </c>
      <c r="E6" s="269">
        <f>E12+E23+E31+E38+E51+E59+E61+E64</f>
        <v>275536.69</v>
      </c>
      <c r="F6" s="268">
        <f>F7+F12+F23+F38+F51+F64</f>
        <v>1322230.41</v>
      </c>
      <c r="G6" s="269">
        <f>G7+G12+G23+G31+G38+G42+G45+G48+G51+G64</f>
        <v>1810438.9</v>
      </c>
      <c r="H6" s="270">
        <f>D6+E6+F6+G6</f>
        <v>3460656</v>
      </c>
      <c r="I6" s="271">
        <f>D6+F6</f>
        <v>1374680.41</v>
      </c>
      <c r="J6" s="271">
        <f>E6+G6</f>
        <v>2085975.59</v>
      </c>
      <c r="K6" s="272">
        <f>H6/C6-1</f>
        <v>-0.0303861607330465</v>
      </c>
      <c r="L6" s="273"/>
    </row>
    <row r="7" ht="27" customHeight="1" spans="1:13">
      <c r="A7" s="265">
        <v>501</v>
      </c>
      <c r="B7" s="274" t="s">
        <v>571</v>
      </c>
      <c r="C7" s="271">
        <f t="shared" ref="C7:G7" si="0">SUM(C8:C11)</f>
        <v>431175.811104</v>
      </c>
      <c r="D7" s="268">
        <f t="shared" si="0"/>
        <v>13550</v>
      </c>
      <c r="E7" s="269"/>
      <c r="F7" s="268">
        <v>340535.81</v>
      </c>
      <c r="G7" s="269">
        <f t="shared" si="0"/>
        <v>18639.5</v>
      </c>
      <c r="H7" s="270">
        <f t="shared" ref="H7:H33" si="1">D7+E7+F7+G7</f>
        <v>372725.31</v>
      </c>
      <c r="I7" s="271">
        <f t="shared" ref="I7:I33" si="2">D7+F7</f>
        <v>354085.81</v>
      </c>
      <c r="J7" s="271">
        <f t="shared" ref="J7:J33" si="3">E7+G7</f>
        <v>18639.5</v>
      </c>
      <c r="K7" s="272">
        <f t="shared" ref="K7:K33" si="4">H7/C7-1</f>
        <v>-0.135560714675392</v>
      </c>
      <c r="L7" s="273"/>
      <c r="M7" s="275"/>
    </row>
    <row r="8" ht="27" customHeight="1" spans="1:13">
      <c r="A8" s="276">
        <v>50101</v>
      </c>
      <c r="B8" s="277" t="s">
        <v>572</v>
      </c>
      <c r="C8" s="278">
        <v>317931.822952</v>
      </c>
      <c r="D8" s="279">
        <f>10000+550</f>
        <v>10550</v>
      </c>
      <c r="E8" s="280"/>
      <c r="F8" s="279">
        <v>266996.25</v>
      </c>
      <c r="G8" s="280">
        <v>967</v>
      </c>
      <c r="H8" s="281">
        <f t="shared" si="1"/>
        <v>278513.25</v>
      </c>
      <c r="I8" s="278">
        <f t="shared" si="2"/>
        <v>277546.25</v>
      </c>
      <c r="J8" s="278">
        <f t="shared" si="3"/>
        <v>967</v>
      </c>
      <c r="K8" s="282">
        <f t="shared" si="4"/>
        <v>-0.12398435798593</v>
      </c>
      <c r="L8" s="273"/>
    </row>
    <row r="9" ht="27" customHeight="1" spans="1:13">
      <c r="A9" s="276">
        <v>50102</v>
      </c>
      <c r="B9" s="277" t="s">
        <v>573</v>
      </c>
      <c r="C9" s="278">
        <v>13517.881509</v>
      </c>
      <c r="D9" s="279"/>
      <c r="E9" s="280"/>
      <c r="F9" s="279">
        <v>30729.96</v>
      </c>
      <c r="G9" s="280"/>
      <c r="H9" s="281">
        <f t="shared" si="1"/>
        <v>30729.96</v>
      </c>
      <c r="I9" s="278">
        <f t="shared" si="2"/>
        <v>30729.96</v>
      </c>
      <c r="J9" s="278">
        <f t="shared" si="3"/>
        <v>0</v>
      </c>
      <c r="K9" s="282">
        <f t="shared" si="4"/>
        <v>1.27328224319324</v>
      </c>
      <c r="L9" s="283"/>
    </row>
    <row r="10" ht="27" customHeight="1" spans="1:13">
      <c r="A10" s="276">
        <v>50103</v>
      </c>
      <c r="B10" s="277" t="s">
        <v>574</v>
      </c>
      <c r="C10" s="278">
        <v>8806.787277</v>
      </c>
      <c r="D10" s="279">
        <v>3000</v>
      </c>
      <c r="E10" s="280"/>
      <c r="F10" s="279">
        <v>24368.87</v>
      </c>
      <c r="G10" s="280"/>
      <c r="H10" s="281">
        <f t="shared" si="1"/>
        <v>27368.87</v>
      </c>
      <c r="I10" s="278">
        <f t="shared" si="2"/>
        <v>27368.87</v>
      </c>
      <c r="J10" s="278">
        <f t="shared" si="3"/>
        <v>0</v>
      </c>
      <c r="K10" s="282">
        <f t="shared" si="4"/>
        <v>2.10770195068492</v>
      </c>
      <c r="L10" s="283"/>
    </row>
    <row r="11" ht="27" customHeight="1" spans="1:13">
      <c r="A11" s="276">
        <v>50199</v>
      </c>
      <c r="B11" s="277" t="s">
        <v>575</v>
      </c>
      <c r="C11" s="278">
        <v>90919.3193660002</v>
      </c>
      <c r="D11" s="279"/>
      <c r="E11" s="280"/>
      <c r="F11" s="279">
        <v>18440.73</v>
      </c>
      <c r="G11" s="280">
        <v>17672.5</v>
      </c>
      <c r="H11" s="281">
        <f t="shared" si="1"/>
        <v>36113.23</v>
      </c>
      <c r="I11" s="278">
        <f t="shared" si="2"/>
        <v>18440.73</v>
      </c>
      <c r="J11" s="278">
        <f t="shared" si="3"/>
        <v>17672.5</v>
      </c>
      <c r="K11" s="282">
        <f t="shared" si="4"/>
        <v>-0.602799160268409</v>
      </c>
      <c r="L11" s="283"/>
    </row>
    <row r="12" ht="27" customHeight="1" spans="1:13">
      <c r="A12" s="265">
        <v>502</v>
      </c>
      <c r="B12" s="274" t="s">
        <v>576</v>
      </c>
      <c r="C12" s="271">
        <f t="shared" ref="C12:I12" si="5">SUM(C13:C22)</f>
        <v>567007.753251</v>
      </c>
      <c r="D12" s="268">
        <v>300</v>
      </c>
      <c r="E12" s="269">
        <f>SUM(E13:E22)</f>
        <v>1066.98</v>
      </c>
      <c r="F12" s="268">
        <f>SUM(F13:F22)</f>
        <v>169009.42</v>
      </c>
      <c r="G12" s="269">
        <f t="shared" si="5"/>
        <v>498715.18</v>
      </c>
      <c r="H12" s="270">
        <f t="shared" si="5"/>
        <v>669091.58</v>
      </c>
      <c r="I12" s="271">
        <f t="shared" si="5"/>
        <v>169309.42</v>
      </c>
      <c r="J12" s="271">
        <f t="shared" si="3"/>
        <v>499782.16</v>
      </c>
      <c r="K12" s="272">
        <f t="shared" si="4"/>
        <v>0.180039560594527</v>
      </c>
      <c r="L12" s="283"/>
      <c r="M12" s="275"/>
    </row>
    <row r="13" ht="27" customHeight="1" spans="1:13">
      <c r="A13" s="276">
        <v>50201</v>
      </c>
      <c r="B13" s="277" t="s">
        <v>577</v>
      </c>
      <c r="C13" s="278">
        <v>83559.8227059999</v>
      </c>
      <c r="D13" s="279"/>
      <c r="E13" s="280"/>
      <c r="F13" s="279">
        <v>57611</v>
      </c>
      <c r="G13" s="280">
        <v>31768.15</v>
      </c>
      <c r="H13" s="281">
        <f t="shared" si="1"/>
        <v>89379.15</v>
      </c>
      <c r="I13" s="278">
        <f t="shared" si="2"/>
        <v>57611</v>
      </c>
      <c r="J13" s="278">
        <f t="shared" si="3"/>
        <v>31768.15</v>
      </c>
      <c r="K13" s="282">
        <f t="shared" si="4"/>
        <v>0.0696426476929592</v>
      </c>
      <c r="L13" s="283"/>
    </row>
    <row r="14" ht="27" customHeight="1" spans="1:13">
      <c r="A14" s="276">
        <v>50202</v>
      </c>
      <c r="B14" s="277" t="s">
        <v>578</v>
      </c>
      <c r="C14" s="278">
        <v>167.551243</v>
      </c>
      <c r="D14" s="279"/>
      <c r="E14" s="280"/>
      <c r="F14" s="279">
        <v>31.5</v>
      </c>
      <c r="G14" s="280">
        <v>223.3</v>
      </c>
      <c r="H14" s="281">
        <f t="shared" si="1"/>
        <v>254.8</v>
      </c>
      <c r="I14" s="278">
        <f t="shared" si="2"/>
        <v>31.5</v>
      </c>
      <c r="J14" s="278">
        <f t="shared" si="3"/>
        <v>223.3</v>
      </c>
      <c r="K14" s="282">
        <f t="shared" si="4"/>
        <v>0.52072879578697</v>
      </c>
      <c r="L14" s="283"/>
    </row>
    <row r="15" ht="27" customHeight="1" spans="1:13">
      <c r="A15" s="276">
        <v>50203</v>
      </c>
      <c r="B15" s="277" t="s">
        <v>579</v>
      </c>
      <c r="C15" s="278">
        <v>5010.556432</v>
      </c>
      <c r="D15" s="279"/>
      <c r="E15" s="280"/>
      <c r="F15" s="279">
        <v>686.6</v>
      </c>
      <c r="G15" s="280">
        <v>3530.7</v>
      </c>
      <c r="H15" s="281">
        <f t="shared" si="1"/>
        <v>4217.3</v>
      </c>
      <c r="I15" s="278">
        <f t="shared" si="2"/>
        <v>686.6</v>
      </c>
      <c r="J15" s="278">
        <f t="shared" si="3"/>
        <v>3530.7</v>
      </c>
      <c r="K15" s="282">
        <f t="shared" si="4"/>
        <v>-0.15831703379965</v>
      </c>
      <c r="L15" s="283"/>
    </row>
    <row r="16" ht="27" customHeight="1" spans="1:13">
      <c r="A16" s="276">
        <v>50204</v>
      </c>
      <c r="B16" s="277" t="s">
        <v>580</v>
      </c>
      <c r="C16" s="278">
        <v>7878.433887</v>
      </c>
      <c r="D16" s="279"/>
      <c r="E16" s="280"/>
      <c r="F16" s="279"/>
      <c r="G16" s="280">
        <v>5205.54</v>
      </c>
      <c r="H16" s="281">
        <f t="shared" si="1"/>
        <v>5205.54</v>
      </c>
      <c r="I16" s="278">
        <f t="shared" si="2"/>
        <v>0</v>
      </c>
      <c r="J16" s="278">
        <f t="shared" si="3"/>
        <v>5205.54</v>
      </c>
      <c r="K16" s="282">
        <f t="shared" si="4"/>
        <v>-0.339267159607758</v>
      </c>
      <c r="L16" s="283"/>
    </row>
    <row r="17" ht="27" customHeight="1" spans="1:13">
      <c r="A17" s="276">
        <v>50205</v>
      </c>
      <c r="B17" s="277" t="s">
        <v>581</v>
      </c>
      <c r="C17" s="278">
        <v>329782.458668</v>
      </c>
      <c r="D17" s="279"/>
      <c r="E17" s="280">
        <f>250+46</f>
        <v>296</v>
      </c>
      <c r="F17" s="279">
        <v>91247.82</v>
      </c>
      <c r="G17" s="280">
        <v>282741.27</v>
      </c>
      <c r="H17" s="281">
        <f t="shared" si="1"/>
        <v>374285.09</v>
      </c>
      <c r="I17" s="278">
        <f t="shared" si="2"/>
        <v>91247.82</v>
      </c>
      <c r="J17" s="278">
        <f t="shared" si="3"/>
        <v>283037.27</v>
      </c>
      <c r="K17" s="282">
        <f t="shared" si="4"/>
        <v>0.134945416780951</v>
      </c>
      <c r="L17" s="283"/>
    </row>
    <row r="18" ht="27" customHeight="1" spans="1:13">
      <c r="A18" s="276">
        <v>50206</v>
      </c>
      <c r="B18" s="277" t="s">
        <v>582</v>
      </c>
      <c r="C18" s="278">
        <v>75.55265</v>
      </c>
      <c r="D18" s="279"/>
      <c r="E18" s="280"/>
      <c r="F18" s="279">
        <v>241.1</v>
      </c>
      <c r="G18" s="280">
        <v>33</v>
      </c>
      <c r="H18" s="281">
        <f t="shared" si="1"/>
        <v>274.1</v>
      </c>
      <c r="I18" s="278">
        <f t="shared" si="2"/>
        <v>241.1</v>
      </c>
      <c r="J18" s="278">
        <f t="shared" si="3"/>
        <v>33</v>
      </c>
      <c r="K18" s="282">
        <f t="shared" si="4"/>
        <v>2.62793363303604</v>
      </c>
      <c r="L18" s="284"/>
    </row>
    <row r="19" ht="27" customHeight="1" spans="1:13">
      <c r="A19" s="276">
        <v>50207</v>
      </c>
      <c r="B19" s="277" t="s">
        <v>583</v>
      </c>
      <c r="C19" s="278">
        <v>321.939823</v>
      </c>
      <c r="D19" s="279">
        <v>300</v>
      </c>
      <c r="E19" s="280"/>
      <c r="F19" s="279">
        <v>55</v>
      </c>
      <c r="G19" s="280"/>
      <c r="H19" s="281">
        <v>355</v>
      </c>
      <c r="I19" s="278">
        <v>355</v>
      </c>
      <c r="J19" s="278">
        <f t="shared" si="3"/>
        <v>0</v>
      </c>
      <c r="K19" s="282">
        <f t="shared" si="4"/>
        <v>0.102690548475576</v>
      </c>
      <c r="L19" s="283"/>
    </row>
    <row r="20" ht="27" customHeight="1" spans="1:13">
      <c r="A20" s="276">
        <v>50208</v>
      </c>
      <c r="B20" s="277" t="s">
        <v>584</v>
      </c>
      <c r="C20" s="278">
        <v>5270.22993499999</v>
      </c>
      <c r="D20" s="279"/>
      <c r="E20" s="280"/>
      <c r="F20" s="279">
        <v>6544.9</v>
      </c>
      <c r="G20" s="280"/>
      <c r="H20" s="281">
        <f t="shared" si="1"/>
        <v>6544.9</v>
      </c>
      <c r="I20" s="278">
        <f t="shared" si="2"/>
        <v>6544.9</v>
      </c>
      <c r="J20" s="278">
        <f t="shared" si="3"/>
        <v>0</v>
      </c>
      <c r="K20" s="282">
        <f t="shared" si="4"/>
        <v>0.241862324930992</v>
      </c>
      <c r="L20" s="283"/>
    </row>
    <row r="21" ht="27" customHeight="1" spans="1:13">
      <c r="A21" s="276">
        <v>50209</v>
      </c>
      <c r="B21" s="277" t="s">
        <v>585</v>
      </c>
      <c r="C21" s="278">
        <v>26129.621062</v>
      </c>
      <c r="D21" s="279"/>
      <c r="E21" s="280"/>
      <c r="F21" s="279">
        <v>95.75</v>
      </c>
      <c r="G21" s="280">
        <v>14910.03</v>
      </c>
      <c r="H21" s="281">
        <f t="shared" si="1"/>
        <v>15005.78</v>
      </c>
      <c r="I21" s="278">
        <f t="shared" si="2"/>
        <v>95.75</v>
      </c>
      <c r="J21" s="278">
        <f t="shared" si="3"/>
        <v>14910.03</v>
      </c>
      <c r="K21" s="282">
        <f t="shared" si="4"/>
        <v>-0.42571765719853</v>
      </c>
      <c r="L21" s="283"/>
    </row>
    <row r="22" ht="27" customHeight="1" spans="1:13">
      <c r="A22" s="276">
        <v>50299</v>
      </c>
      <c r="B22" s="277" t="s">
        <v>586</v>
      </c>
      <c r="C22" s="278">
        <v>108811.586845</v>
      </c>
      <c r="D22" s="279"/>
      <c r="E22" s="280">
        <f>40+65+96+3+5+417+144.98</f>
        <v>770.98</v>
      </c>
      <c r="F22" s="279">
        <v>12495.75</v>
      </c>
      <c r="G22" s="280">
        <v>160303.19</v>
      </c>
      <c r="H22" s="281">
        <f t="shared" si="1"/>
        <v>173569.92</v>
      </c>
      <c r="I22" s="278">
        <f t="shared" si="2"/>
        <v>12495.75</v>
      </c>
      <c r="J22" s="278">
        <f t="shared" si="3"/>
        <v>161074.17</v>
      </c>
      <c r="K22" s="282">
        <f t="shared" si="4"/>
        <v>0.595141887299622</v>
      </c>
      <c r="L22" s="283"/>
    </row>
    <row r="23" ht="27" customHeight="1" spans="1:13">
      <c r="A23" s="265">
        <v>503</v>
      </c>
      <c r="B23" s="274" t="s">
        <v>587</v>
      </c>
      <c r="C23" s="271">
        <f>SUM(C24:C30)</f>
        <v>80393.338607</v>
      </c>
      <c r="D23" s="268"/>
      <c r="E23" s="269">
        <f>E26</f>
        <v>550</v>
      </c>
      <c r="F23" s="268"/>
      <c r="G23" s="269">
        <f>SUM(G24:G30)</f>
        <v>61985.72</v>
      </c>
      <c r="H23" s="270">
        <f t="shared" si="1"/>
        <v>62535.72</v>
      </c>
      <c r="I23" s="271">
        <f t="shared" si="2"/>
        <v>0</v>
      </c>
      <c r="J23" s="271">
        <f t="shared" si="3"/>
        <v>62535.72</v>
      </c>
      <c r="K23" s="272">
        <f t="shared" si="4"/>
        <v>-0.222128088177757</v>
      </c>
      <c r="L23" s="283"/>
      <c r="M23" s="275"/>
    </row>
    <row r="24" ht="27" customHeight="1" spans="1:13">
      <c r="A24" s="276">
        <v>50301</v>
      </c>
      <c r="B24" s="277" t="s">
        <v>588</v>
      </c>
      <c r="C24" s="278">
        <v>187.142935</v>
      </c>
      <c r="D24" s="279"/>
      <c r="E24" s="280"/>
      <c r="F24" s="279"/>
      <c r="G24" s="280"/>
      <c r="H24" s="281">
        <f t="shared" si="1"/>
        <v>0</v>
      </c>
      <c r="I24" s="278">
        <f t="shared" si="2"/>
        <v>0</v>
      </c>
      <c r="J24" s="278">
        <f t="shared" si="3"/>
        <v>0</v>
      </c>
      <c r="K24" s="282">
        <f t="shared" si="4"/>
        <v>-1</v>
      </c>
      <c r="L24" s="283"/>
    </row>
    <row r="25" ht="27" customHeight="1" spans="1:13">
      <c r="A25" s="276">
        <v>50302</v>
      </c>
      <c r="B25" s="277" t="s">
        <v>589</v>
      </c>
      <c r="C25" s="278">
        <v>27881.902172</v>
      </c>
      <c r="D25" s="279"/>
      <c r="E25" s="280"/>
      <c r="F25" s="279"/>
      <c r="G25" s="280">
        <v>39321</v>
      </c>
      <c r="H25" s="281">
        <f t="shared" si="1"/>
        <v>39321</v>
      </c>
      <c r="I25" s="278">
        <f t="shared" si="2"/>
        <v>0</v>
      </c>
      <c r="J25" s="278">
        <f t="shared" si="3"/>
        <v>39321</v>
      </c>
      <c r="K25" s="282">
        <f t="shared" si="4"/>
        <v>0.410269635028257</v>
      </c>
      <c r="L25" s="283"/>
    </row>
    <row r="26" ht="27" customHeight="1" spans="1:13">
      <c r="A26" s="276">
        <v>50303</v>
      </c>
      <c r="B26" s="277" t="s">
        <v>590</v>
      </c>
      <c r="C26" s="278">
        <v>4523.669972</v>
      </c>
      <c r="D26" s="279"/>
      <c r="E26" s="280">
        <f>1100-550</f>
        <v>550</v>
      </c>
      <c r="F26" s="279"/>
      <c r="G26" s="280">
        <v>1000</v>
      </c>
      <c r="H26" s="281">
        <f t="shared" si="1"/>
        <v>1550</v>
      </c>
      <c r="I26" s="278">
        <f t="shared" si="2"/>
        <v>0</v>
      </c>
      <c r="J26" s="278">
        <f t="shared" si="3"/>
        <v>1550</v>
      </c>
      <c r="K26" s="282">
        <f t="shared" si="4"/>
        <v>-0.657357851126634</v>
      </c>
      <c r="L26" s="283"/>
    </row>
    <row r="27" ht="27" customHeight="1" spans="1:13">
      <c r="A27" s="276">
        <v>50305</v>
      </c>
      <c r="B27" s="277" t="s">
        <v>591</v>
      </c>
      <c r="C27" s="278">
        <v>6462.4441</v>
      </c>
      <c r="D27" s="279"/>
      <c r="E27" s="280"/>
      <c r="F27" s="279"/>
      <c r="G27" s="280">
        <v>6444</v>
      </c>
      <c r="H27" s="281">
        <f t="shared" si="1"/>
        <v>6444</v>
      </c>
      <c r="I27" s="278">
        <f t="shared" si="2"/>
        <v>0</v>
      </c>
      <c r="J27" s="278">
        <f t="shared" si="3"/>
        <v>6444</v>
      </c>
      <c r="K27" s="282">
        <f t="shared" si="4"/>
        <v>-0.00285404402956457</v>
      </c>
      <c r="L27" s="283"/>
    </row>
    <row r="28" ht="27" customHeight="1" spans="1:13">
      <c r="A28" s="276">
        <v>50306</v>
      </c>
      <c r="B28" s="277" t="s">
        <v>592</v>
      </c>
      <c r="C28" s="278">
        <v>22198.967546</v>
      </c>
      <c r="D28" s="279"/>
      <c r="E28" s="280"/>
      <c r="F28" s="279"/>
      <c r="G28" s="280">
        <v>11063.41</v>
      </c>
      <c r="H28" s="281">
        <f t="shared" si="1"/>
        <v>11063.41</v>
      </c>
      <c r="I28" s="278">
        <f t="shared" si="2"/>
        <v>0</v>
      </c>
      <c r="J28" s="278">
        <f t="shared" si="3"/>
        <v>11063.41</v>
      </c>
      <c r="K28" s="282">
        <f t="shared" si="4"/>
        <v>-0.501625020304447</v>
      </c>
      <c r="L28" s="283"/>
    </row>
    <row r="29" ht="27" customHeight="1" spans="1:13">
      <c r="A29" s="276">
        <v>50307</v>
      </c>
      <c r="B29" s="277" t="s">
        <v>593</v>
      </c>
      <c r="C29" s="278">
        <v>17272.890078</v>
      </c>
      <c r="D29" s="279"/>
      <c r="E29" s="280"/>
      <c r="F29" s="279"/>
      <c r="G29" s="280">
        <v>2858.99</v>
      </c>
      <c r="H29" s="281">
        <f t="shared" si="1"/>
        <v>2858.99</v>
      </c>
      <c r="I29" s="278">
        <f t="shared" si="2"/>
        <v>0</v>
      </c>
      <c r="J29" s="278">
        <f t="shared" si="3"/>
        <v>2858.99</v>
      </c>
      <c r="K29" s="282">
        <f t="shared" si="4"/>
        <v>-0.834481086425634</v>
      </c>
      <c r="L29" s="283"/>
    </row>
    <row r="30" ht="27" customHeight="1" spans="1:13">
      <c r="A30" s="276">
        <v>50399</v>
      </c>
      <c r="B30" s="277" t="s">
        <v>594</v>
      </c>
      <c r="C30" s="278">
        <v>1866.321804</v>
      </c>
      <c r="D30" s="279"/>
      <c r="E30" s="280"/>
      <c r="F30" s="279"/>
      <c r="G30" s="280">
        <v>1298.32</v>
      </c>
      <c r="H30" s="281">
        <f t="shared" si="1"/>
        <v>1298.32</v>
      </c>
      <c r="I30" s="278">
        <f t="shared" si="2"/>
        <v>0</v>
      </c>
      <c r="J30" s="278">
        <f t="shared" si="3"/>
        <v>1298.32</v>
      </c>
      <c r="K30" s="282">
        <f t="shared" si="4"/>
        <v>-0.304342907414267</v>
      </c>
      <c r="L30" s="283"/>
    </row>
    <row r="31" ht="27" customHeight="1" spans="1:13">
      <c r="A31" s="265">
        <v>504</v>
      </c>
      <c r="B31" s="274" t="s">
        <v>595</v>
      </c>
      <c r="C31" s="271">
        <f>SUM(C32:C37)</f>
        <v>348878.295868</v>
      </c>
      <c r="D31" s="268"/>
      <c r="E31" s="269">
        <f>SUM(E32:E33)</f>
        <v>160029</v>
      </c>
      <c r="F31" s="268"/>
      <c r="G31" s="269">
        <f>SUM(G32:G37)</f>
        <v>164748.71</v>
      </c>
      <c r="H31" s="270">
        <f t="shared" si="1"/>
        <v>324777.71</v>
      </c>
      <c r="I31" s="271">
        <f t="shared" si="2"/>
        <v>0</v>
      </c>
      <c r="J31" s="271">
        <f t="shared" si="3"/>
        <v>324777.71</v>
      </c>
      <c r="K31" s="272">
        <f t="shared" si="4"/>
        <v>-0.0690802097850153</v>
      </c>
      <c r="L31" s="283"/>
      <c r="M31" s="275"/>
    </row>
    <row r="32" ht="27" customHeight="1" spans="1:13">
      <c r="A32" s="276">
        <v>50401</v>
      </c>
      <c r="B32" s="277" t="s">
        <v>596</v>
      </c>
      <c r="C32" s="278"/>
      <c r="D32" s="285"/>
      <c r="E32" s="280">
        <f>50000+39900</f>
        <v>89900</v>
      </c>
      <c r="F32" s="279"/>
      <c r="G32" s="280"/>
      <c r="H32" s="281">
        <f t="shared" si="1"/>
        <v>89900</v>
      </c>
      <c r="I32" s="278">
        <f t="shared" si="2"/>
        <v>0</v>
      </c>
      <c r="J32" s="278">
        <f t="shared" si="3"/>
        <v>89900</v>
      </c>
      <c r="K32" s="282" t="s">
        <v>20</v>
      </c>
      <c r="L32" s="283"/>
    </row>
    <row r="33" ht="27" customHeight="1" spans="1:13">
      <c r="A33" s="276">
        <v>50402</v>
      </c>
      <c r="B33" s="277" t="s">
        <v>589</v>
      </c>
      <c r="C33" s="278">
        <v>320928.835607</v>
      </c>
      <c r="D33" s="279"/>
      <c r="E33" s="280">
        <v>70129</v>
      </c>
      <c r="F33" s="279"/>
      <c r="G33" s="280">
        <v>161950</v>
      </c>
      <c r="H33" s="281">
        <f t="shared" si="1"/>
        <v>232079</v>
      </c>
      <c r="I33" s="278">
        <f t="shared" si="2"/>
        <v>0</v>
      </c>
      <c r="J33" s="278">
        <f t="shared" si="3"/>
        <v>232079</v>
      </c>
      <c r="K33" s="282">
        <f t="shared" si="4"/>
        <v>-0.276852142123505</v>
      </c>
      <c r="L33" s="283"/>
    </row>
    <row r="34" ht="27" customHeight="1" spans="1:13">
      <c r="A34" s="276">
        <v>50403</v>
      </c>
      <c r="B34" s="277" t="s">
        <v>597</v>
      </c>
      <c r="C34" s="278">
        <v>16.632212</v>
      </c>
      <c r="D34" s="279"/>
      <c r="E34" s="280"/>
      <c r="F34" s="279"/>
      <c r="G34" s="280"/>
      <c r="H34" s="281"/>
      <c r="I34" s="278"/>
      <c r="J34" s="278"/>
      <c r="K34" s="282"/>
      <c r="L34" s="283"/>
    </row>
    <row r="35" ht="27" customHeight="1" spans="1:13">
      <c r="A35" s="276">
        <v>50404</v>
      </c>
      <c r="B35" s="277" t="s">
        <v>592</v>
      </c>
      <c r="C35" s="278">
        <v>7487.307601</v>
      </c>
      <c r="D35" s="279"/>
      <c r="E35" s="280"/>
      <c r="F35" s="279"/>
      <c r="G35" s="280">
        <v>753.71</v>
      </c>
      <c r="H35" s="281">
        <f t="shared" ref="H35:H39" si="6">D35+E35+F35+G35</f>
        <v>753.71</v>
      </c>
      <c r="I35" s="278">
        <f t="shared" ref="I35:J39" si="7">D35+F35</f>
        <v>0</v>
      </c>
      <c r="J35" s="278">
        <f t="shared" si="7"/>
        <v>753.71</v>
      </c>
      <c r="K35" s="282">
        <f t="shared" ref="K35:K39" si="8">H35/C35-1</f>
        <v>-0.899334975913193</v>
      </c>
      <c r="L35" s="283"/>
    </row>
    <row r="36" ht="27" customHeight="1" spans="1:13">
      <c r="A36" s="276">
        <v>50405</v>
      </c>
      <c r="B36" s="277" t="s">
        <v>593</v>
      </c>
      <c r="C36" s="278">
        <v>5483.644269</v>
      </c>
      <c r="D36" s="279"/>
      <c r="E36" s="280"/>
      <c r="F36" s="279"/>
      <c r="G36" s="280"/>
      <c r="H36" s="281">
        <f t="shared" si="6"/>
        <v>0</v>
      </c>
      <c r="I36" s="278">
        <f t="shared" si="7"/>
        <v>0</v>
      </c>
      <c r="J36" s="278">
        <f t="shared" si="7"/>
        <v>0</v>
      </c>
      <c r="K36" s="282">
        <f t="shared" si="8"/>
        <v>-1</v>
      </c>
      <c r="L36" s="283"/>
    </row>
    <row r="37" ht="27" customHeight="1" spans="1:13">
      <c r="A37" s="276">
        <v>50499</v>
      </c>
      <c r="B37" s="277" t="s">
        <v>594</v>
      </c>
      <c r="C37" s="278">
        <v>14961.876179</v>
      </c>
      <c r="D37" s="279"/>
      <c r="E37" s="280"/>
      <c r="F37" s="279"/>
      <c r="G37" s="280">
        <v>2045</v>
      </c>
      <c r="H37" s="281">
        <f t="shared" si="6"/>
        <v>2045</v>
      </c>
      <c r="I37" s="278">
        <f t="shared" si="7"/>
        <v>0</v>
      </c>
      <c r="J37" s="278">
        <f t="shared" si="7"/>
        <v>2045</v>
      </c>
      <c r="K37" s="282">
        <f t="shared" si="8"/>
        <v>-0.863319280581249</v>
      </c>
      <c r="L37" s="283"/>
    </row>
    <row r="38" ht="27" customHeight="1" spans="1:13">
      <c r="A38" s="265">
        <v>505</v>
      </c>
      <c r="B38" s="274" t="s">
        <v>598</v>
      </c>
      <c r="C38" s="271">
        <f t="shared" ref="C38:F38" si="9">SUM(C39:C41)</f>
        <v>1385851.118099</v>
      </c>
      <c r="D38" s="268">
        <f t="shared" si="9"/>
        <v>37400</v>
      </c>
      <c r="E38" s="269">
        <f t="shared" si="9"/>
        <v>40935.71</v>
      </c>
      <c r="F38" s="269">
        <f t="shared" si="9"/>
        <v>757097.68</v>
      </c>
      <c r="G38" s="269">
        <f>SUM(G39:G40)</f>
        <v>585676.62</v>
      </c>
      <c r="H38" s="286">
        <f t="shared" si="6"/>
        <v>1421110.01</v>
      </c>
      <c r="I38" s="271">
        <f t="shared" si="7"/>
        <v>794497.68</v>
      </c>
      <c r="J38" s="271">
        <f t="shared" si="7"/>
        <v>626612.33</v>
      </c>
      <c r="K38" s="272">
        <f t="shared" si="8"/>
        <v>0.0254420488900431</v>
      </c>
      <c r="L38" s="283"/>
      <c r="M38" s="275"/>
    </row>
    <row r="39" ht="27" customHeight="1" spans="1:13">
      <c r="A39" s="276">
        <v>50501</v>
      </c>
      <c r="B39" s="277" t="s">
        <v>599</v>
      </c>
      <c r="C39" s="278">
        <v>841402.196015003</v>
      </c>
      <c r="D39" s="279">
        <v>37000</v>
      </c>
      <c r="E39" s="280"/>
      <c r="F39" s="279">
        <v>646083.21</v>
      </c>
      <c r="G39" s="280">
        <v>131802.43</v>
      </c>
      <c r="H39" s="287">
        <f t="shared" si="6"/>
        <v>814885.64</v>
      </c>
      <c r="I39" s="278">
        <f t="shared" si="7"/>
        <v>683083.21</v>
      </c>
      <c r="J39" s="278">
        <f t="shared" si="7"/>
        <v>131802.43</v>
      </c>
      <c r="K39" s="282">
        <f t="shared" si="8"/>
        <v>-0.031514721664133</v>
      </c>
      <c r="L39" s="283"/>
    </row>
    <row r="40" ht="27" customHeight="1" spans="1:13">
      <c r="A40" s="276">
        <v>50502</v>
      </c>
      <c r="B40" s="277" t="s">
        <v>600</v>
      </c>
      <c r="C40" s="278">
        <v>527839.196199001</v>
      </c>
      <c r="D40" s="279">
        <v>400</v>
      </c>
      <c r="E40" s="280">
        <v>935.71</v>
      </c>
      <c r="F40" s="279">
        <v>111014.47</v>
      </c>
      <c r="G40" s="280">
        <v>453874.19</v>
      </c>
      <c r="H40" s="287">
        <f t="shared" ref="H40:H64" si="10">D40+E40+F40+G40</f>
        <v>566224.37</v>
      </c>
      <c r="I40" s="288">
        <v>111414</v>
      </c>
      <c r="J40" s="278">
        <f t="shared" ref="J40:J64" si="11">E40+G40</f>
        <v>454809.9</v>
      </c>
      <c r="K40" s="282">
        <f t="shared" ref="K40:K67" si="12">H40/C40-1</f>
        <v>0.0727213402820646</v>
      </c>
      <c r="L40" s="283"/>
    </row>
    <row r="41" ht="27" customHeight="1" spans="1:13">
      <c r="A41" s="276">
        <v>50599</v>
      </c>
      <c r="B41" s="277" t="s">
        <v>601</v>
      </c>
      <c r="C41" s="278">
        <v>16609.725885</v>
      </c>
      <c r="D41" s="279"/>
      <c r="E41" s="280">
        <v>40000</v>
      </c>
      <c r="F41" s="279"/>
      <c r="G41" s="280"/>
      <c r="H41" s="287">
        <f t="shared" si="10"/>
        <v>40000</v>
      </c>
      <c r="I41" s="278">
        <f t="shared" ref="I41:I64" si="13">D41+F41</f>
        <v>0</v>
      </c>
      <c r="J41" s="278">
        <f t="shared" si="11"/>
        <v>40000</v>
      </c>
      <c r="K41" s="282">
        <f t="shared" si="12"/>
        <v>1.40822758165584</v>
      </c>
      <c r="L41" s="283"/>
    </row>
    <row r="42" ht="27" customHeight="1" spans="1:13">
      <c r="A42" s="265">
        <v>506</v>
      </c>
      <c r="B42" s="274" t="s">
        <v>602</v>
      </c>
      <c r="C42" s="271">
        <f>SUM(C43:C44)</f>
        <v>317175.379368</v>
      </c>
      <c r="D42" s="268"/>
      <c r="E42" s="269"/>
      <c r="F42" s="268"/>
      <c r="G42" s="269">
        <f>SUM(G43:G44)</f>
        <v>20545.07</v>
      </c>
      <c r="H42" s="270">
        <f t="shared" si="10"/>
        <v>20545.07</v>
      </c>
      <c r="I42" s="271">
        <f t="shared" si="13"/>
        <v>0</v>
      </c>
      <c r="J42" s="271">
        <f t="shared" si="11"/>
        <v>20545.07</v>
      </c>
      <c r="K42" s="272">
        <f t="shared" si="12"/>
        <v>-0.935224890276989</v>
      </c>
      <c r="L42" s="283"/>
      <c r="M42" s="275"/>
    </row>
    <row r="43" ht="27" customHeight="1" spans="1:13">
      <c r="A43" s="276">
        <v>50601</v>
      </c>
      <c r="B43" s="277" t="s">
        <v>603</v>
      </c>
      <c r="C43" s="278">
        <v>51192.472131</v>
      </c>
      <c r="D43" s="279"/>
      <c r="E43" s="280"/>
      <c r="F43" s="279"/>
      <c r="G43" s="280">
        <v>20464.34</v>
      </c>
      <c r="H43" s="281">
        <f t="shared" si="10"/>
        <v>20464.34</v>
      </c>
      <c r="I43" s="278">
        <f t="shared" si="13"/>
        <v>0</v>
      </c>
      <c r="J43" s="278">
        <f t="shared" si="11"/>
        <v>20464.34</v>
      </c>
      <c r="K43" s="282">
        <f t="shared" si="12"/>
        <v>-0.600247084226908</v>
      </c>
      <c r="L43" s="283"/>
    </row>
    <row r="44" ht="27" customHeight="1" spans="1:13">
      <c r="A44" s="276">
        <v>50602</v>
      </c>
      <c r="B44" s="277" t="s">
        <v>604</v>
      </c>
      <c r="C44" s="278">
        <v>265982.907237</v>
      </c>
      <c r="D44" s="279"/>
      <c r="E44" s="280"/>
      <c r="F44" s="279"/>
      <c r="G44" s="280">
        <v>80.73</v>
      </c>
      <c r="H44" s="281">
        <f t="shared" si="10"/>
        <v>80.73</v>
      </c>
      <c r="I44" s="278">
        <f t="shared" si="13"/>
        <v>0</v>
      </c>
      <c r="J44" s="278">
        <f t="shared" si="11"/>
        <v>80.73</v>
      </c>
      <c r="K44" s="282">
        <f t="shared" si="12"/>
        <v>-0.99969648425593</v>
      </c>
      <c r="L44" s="283"/>
    </row>
    <row r="45" ht="27" customHeight="1" spans="1:13">
      <c r="A45" s="265">
        <v>507</v>
      </c>
      <c r="B45" s="274" t="s">
        <v>605</v>
      </c>
      <c r="C45" s="271">
        <f>SUM(C46:C47)</f>
        <v>290482.407393</v>
      </c>
      <c r="D45" s="268"/>
      <c r="E45" s="269">
        <f>SUM(E46:E47)</f>
        <v>17.11</v>
      </c>
      <c r="F45" s="268"/>
      <c r="G45" s="269">
        <f>SUM(G46:G47)</f>
        <v>354696.69</v>
      </c>
      <c r="H45" s="270">
        <f t="shared" si="10"/>
        <v>354713.8</v>
      </c>
      <c r="I45" s="271">
        <f t="shared" si="13"/>
        <v>0</v>
      </c>
      <c r="J45" s="271">
        <f t="shared" si="11"/>
        <v>354713.8</v>
      </c>
      <c r="K45" s="272">
        <f t="shared" si="12"/>
        <v>0.221119733836755</v>
      </c>
      <c r="L45" s="283"/>
      <c r="M45" s="275"/>
    </row>
    <row r="46" ht="27" customHeight="1" spans="1:13">
      <c r="A46" s="276">
        <v>50701</v>
      </c>
      <c r="B46" s="277" t="s">
        <v>606</v>
      </c>
      <c r="C46" s="278">
        <v>154163.306862</v>
      </c>
      <c r="D46" s="279"/>
      <c r="E46" s="280"/>
      <c r="F46" s="279"/>
      <c r="G46" s="280">
        <v>232680.5</v>
      </c>
      <c r="H46" s="287">
        <f t="shared" si="10"/>
        <v>232680.5</v>
      </c>
      <c r="I46" s="278">
        <f t="shared" si="13"/>
        <v>0</v>
      </c>
      <c r="J46" s="278">
        <f t="shared" si="11"/>
        <v>232680.5</v>
      </c>
      <c r="K46" s="282">
        <f t="shared" si="12"/>
        <v>0.509311811845636</v>
      </c>
      <c r="L46" s="283"/>
    </row>
    <row r="47" ht="27" customHeight="1" spans="1:13">
      <c r="A47" s="276">
        <v>50799</v>
      </c>
      <c r="B47" s="277" t="s">
        <v>607</v>
      </c>
      <c r="C47" s="278">
        <v>136319.100531</v>
      </c>
      <c r="D47" s="279"/>
      <c r="E47" s="280">
        <v>17.11</v>
      </c>
      <c r="F47" s="279"/>
      <c r="G47" s="280">
        <v>122016.19</v>
      </c>
      <c r="H47" s="287">
        <f t="shared" si="10"/>
        <v>122033.3</v>
      </c>
      <c r="I47" s="278">
        <f t="shared" si="13"/>
        <v>0</v>
      </c>
      <c r="J47" s="278">
        <f t="shared" si="11"/>
        <v>122033.3</v>
      </c>
      <c r="K47" s="282">
        <f t="shared" si="12"/>
        <v>-0.104796763442195</v>
      </c>
      <c r="L47" s="283"/>
    </row>
    <row r="48" ht="27" customHeight="1" spans="1:13">
      <c r="A48" s="265">
        <v>508</v>
      </c>
      <c r="B48" s="274" t="s">
        <v>608</v>
      </c>
      <c r="C48" s="271"/>
      <c r="D48" s="268"/>
      <c r="E48" s="269"/>
      <c r="F48" s="268"/>
      <c r="G48" s="269">
        <v>10</v>
      </c>
      <c r="H48" s="270">
        <f t="shared" si="10"/>
        <v>10</v>
      </c>
      <c r="I48" s="271">
        <f t="shared" si="13"/>
        <v>0</v>
      </c>
      <c r="J48" s="271">
        <f t="shared" si="11"/>
        <v>10</v>
      </c>
      <c r="K48" s="272"/>
      <c r="L48" s="283"/>
      <c r="M48" s="275"/>
    </row>
    <row r="49" ht="27" customHeight="1" spans="1:13">
      <c r="A49" s="276">
        <v>50801</v>
      </c>
      <c r="B49" s="277" t="s">
        <v>609</v>
      </c>
      <c r="C49" s="278"/>
      <c r="D49" s="279"/>
      <c r="E49" s="280"/>
      <c r="F49" s="279"/>
      <c r="G49" s="280"/>
      <c r="H49" s="281">
        <f t="shared" si="10"/>
        <v>0</v>
      </c>
      <c r="I49" s="278">
        <f t="shared" si="13"/>
        <v>0</v>
      </c>
      <c r="J49" s="278">
        <f t="shared" si="11"/>
        <v>0</v>
      </c>
      <c r="K49" s="282"/>
      <c r="L49" s="283"/>
    </row>
    <row r="50" ht="27" customHeight="1" spans="1:13">
      <c r="A50" s="276">
        <v>50802</v>
      </c>
      <c r="B50" s="277" t="s">
        <v>610</v>
      </c>
      <c r="C50" s="278"/>
      <c r="D50" s="279"/>
      <c r="E50" s="280"/>
      <c r="F50" s="279"/>
      <c r="G50" s="280">
        <v>10</v>
      </c>
      <c r="H50" s="281">
        <f t="shared" si="10"/>
        <v>10</v>
      </c>
      <c r="I50" s="278">
        <f t="shared" si="13"/>
        <v>0</v>
      </c>
      <c r="J50" s="278">
        <f t="shared" si="11"/>
        <v>10</v>
      </c>
      <c r="K50" s="282"/>
      <c r="L50" s="283"/>
    </row>
    <row r="51" ht="27" customHeight="1" spans="1:13">
      <c r="A51" s="265">
        <v>509</v>
      </c>
      <c r="B51" s="274" t="s">
        <v>611</v>
      </c>
      <c r="C51" s="271">
        <f>SUM(C52:C58)</f>
        <v>145580.744511</v>
      </c>
      <c r="D51" s="268">
        <v>1200</v>
      </c>
      <c r="E51" s="269">
        <f>E55</f>
        <v>93</v>
      </c>
      <c r="F51" s="268">
        <v>55286.95</v>
      </c>
      <c r="G51" s="269">
        <f>SUM(G52:G56)</f>
        <v>93060.57</v>
      </c>
      <c r="H51" s="270">
        <f t="shared" si="10"/>
        <v>149640.52</v>
      </c>
      <c r="I51" s="271">
        <f t="shared" si="13"/>
        <v>56486.95</v>
      </c>
      <c r="J51" s="271">
        <f t="shared" si="11"/>
        <v>93153.57</v>
      </c>
      <c r="K51" s="272">
        <f t="shared" si="12"/>
        <v>0.0278867614163991</v>
      </c>
      <c r="L51" s="283"/>
      <c r="M51" s="275"/>
    </row>
    <row r="52" ht="27" customHeight="1" spans="1:13">
      <c r="A52" s="276">
        <v>50901</v>
      </c>
      <c r="B52" s="277" t="s">
        <v>612</v>
      </c>
      <c r="C52" s="278">
        <v>48450.120938</v>
      </c>
      <c r="D52" s="279">
        <v>1200</v>
      </c>
      <c r="E52" s="280"/>
      <c r="F52" s="279">
        <v>12715.99</v>
      </c>
      <c r="G52" s="280">
        <v>28051.25</v>
      </c>
      <c r="H52" s="281">
        <f t="shared" si="10"/>
        <v>41967.24</v>
      </c>
      <c r="I52" s="278">
        <f t="shared" si="13"/>
        <v>13915.99</v>
      </c>
      <c r="J52" s="278">
        <f t="shared" si="11"/>
        <v>28051.25</v>
      </c>
      <c r="K52" s="282">
        <f t="shared" si="12"/>
        <v>-0.133805258118879</v>
      </c>
      <c r="L52" s="283"/>
    </row>
    <row r="53" ht="27" customHeight="1" spans="1:13">
      <c r="A53" s="276">
        <v>50902</v>
      </c>
      <c r="B53" s="277" t="s">
        <v>613</v>
      </c>
      <c r="C53" s="278">
        <v>1292.52926</v>
      </c>
      <c r="D53" s="279"/>
      <c r="E53" s="280"/>
      <c r="F53" s="279"/>
      <c r="G53" s="280">
        <v>374.2</v>
      </c>
      <c r="H53" s="281">
        <f t="shared" si="10"/>
        <v>374.2</v>
      </c>
      <c r="I53" s="278">
        <f t="shared" si="13"/>
        <v>0</v>
      </c>
      <c r="J53" s="278">
        <f t="shared" si="11"/>
        <v>374.2</v>
      </c>
      <c r="K53" s="282">
        <f t="shared" si="12"/>
        <v>-0.710490113005256</v>
      </c>
      <c r="L53" s="283"/>
    </row>
    <row r="54" ht="27" customHeight="1" spans="1:13">
      <c r="A54" s="276">
        <v>50903</v>
      </c>
      <c r="B54" s="277" t="s">
        <v>614</v>
      </c>
      <c r="C54" s="278">
        <v>0</v>
      </c>
      <c r="D54" s="279"/>
      <c r="E54" s="280"/>
      <c r="F54" s="279"/>
      <c r="G54" s="280">
        <v>3.2</v>
      </c>
      <c r="H54" s="281">
        <f t="shared" si="10"/>
        <v>3.2</v>
      </c>
      <c r="I54" s="278">
        <f t="shared" si="13"/>
        <v>0</v>
      </c>
      <c r="J54" s="278">
        <f t="shared" si="11"/>
        <v>3.2</v>
      </c>
      <c r="K54" s="282" t="s">
        <v>20</v>
      </c>
      <c r="L54" s="283"/>
    </row>
    <row r="55" ht="27" customHeight="1" spans="1:13">
      <c r="A55" s="276">
        <v>50905</v>
      </c>
      <c r="B55" s="277" t="s">
        <v>615</v>
      </c>
      <c r="C55" s="278">
        <v>41730.4765</v>
      </c>
      <c r="D55" s="279"/>
      <c r="E55" s="280">
        <v>93</v>
      </c>
      <c r="F55" s="279">
        <v>41302.11</v>
      </c>
      <c r="G55" s="280">
        <v>1699.58</v>
      </c>
      <c r="H55" s="281">
        <f t="shared" si="10"/>
        <v>43094.69</v>
      </c>
      <c r="I55" s="278">
        <f t="shared" si="13"/>
        <v>41302.11</v>
      </c>
      <c r="J55" s="278">
        <f t="shared" si="11"/>
        <v>1792.58</v>
      </c>
      <c r="K55" s="282">
        <f t="shared" si="12"/>
        <v>0.0326910597342449</v>
      </c>
      <c r="L55" s="283"/>
    </row>
    <row r="56" ht="27" customHeight="1" spans="1:13">
      <c r="A56" s="276">
        <v>50999</v>
      </c>
      <c r="B56" s="277" t="s">
        <v>616</v>
      </c>
      <c r="C56" s="278">
        <v>54107.617813</v>
      </c>
      <c r="D56" s="279"/>
      <c r="E56" s="280"/>
      <c r="F56" s="279">
        <v>1268.85</v>
      </c>
      <c r="G56" s="280">
        <v>62932.34</v>
      </c>
      <c r="H56" s="281">
        <f t="shared" si="10"/>
        <v>64201.19</v>
      </c>
      <c r="I56" s="278">
        <f t="shared" si="13"/>
        <v>1268.85</v>
      </c>
      <c r="J56" s="278">
        <f t="shared" si="11"/>
        <v>62932.34</v>
      </c>
      <c r="K56" s="282">
        <f t="shared" si="12"/>
        <v>0.186546231288248</v>
      </c>
      <c r="L56" s="283"/>
    </row>
    <row r="57" ht="27" customHeight="1" spans="1:13">
      <c r="A57" s="265">
        <v>510</v>
      </c>
      <c r="B57" s="277" t="s">
        <v>617</v>
      </c>
      <c r="C57" s="278"/>
      <c r="D57" s="279"/>
      <c r="E57" s="280"/>
      <c r="F57" s="279"/>
      <c r="G57" s="280"/>
      <c r="H57" s="281">
        <f t="shared" si="10"/>
        <v>0</v>
      </c>
      <c r="I57" s="278">
        <f t="shared" si="13"/>
        <v>0</v>
      </c>
      <c r="J57" s="278">
        <f t="shared" si="11"/>
        <v>0</v>
      </c>
      <c r="K57" s="282" t="s">
        <v>20</v>
      </c>
      <c r="L57" s="283"/>
      <c r="M57" s="275"/>
    </row>
    <row r="58" ht="27" customHeight="1" spans="1:13">
      <c r="A58" s="276">
        <v>51002</v>
      </c>
      <c r="B58" s="277" t="s">
        <v>618</v>
      </c>
      <c r="C58" s="278"/>
      <c r="D58" s="279"/>
      <c r="E58" s="280"/>
      <c r="F58" s="279"/>
      <c r="G58" s="280"/>
      <c r="H58" s="281">
        <f t="shared" si="10"/>
        <v>0</v>
      </c>
      <c r="I58" s="278">
        <f t="shared" si="13"/>
        <v>0</v>
      </c>
      <c r="J58" s="278">
        <f t="shared" si="11"/>
        <v>0</v>
      </c>
      <c r="K58" s="282" t="s">
        <v>20</v>
      </c>
      <c r="L58" s="283"/>
    </row>
    <row r="59" ht="27" customHeight="1" spans="1:13">
      <c r="A59" s="265">
        <v>511</v>
      </c>
      <c r="B59" s="274" t="s">
        <v>619</v>
      </c>
      <c r="C59" s="271">
        <f>SUM(C60)</f>
        <v>1905</v>
      </c>
      <c r="D59" s="268"/>
      <c r="E59" s="269">
        <v>2000</v>
      </c>
      <c r="F59" s="268"/>
      <c r="G59" s="269"/>
      <c r="H59" s="270">
        <f t="shared" si="10"/>
        <v>2000</v>
      </c>
      <c r="I59" s="271">
        <f t="shared" si="13"/>
        <v>0</v>
      </c>
      <c r="J59" s="271">
        <f t="shared" si="11"/>
        <v>2000</v>
      </c>
      <c r="K59" s="272">
        <f t="shared" si="12"/>
        <v>0.0498687664041995</v>
      </c>
      <c r="L59" s="283"/>
      <c r="M59" s="275"/>
    </row>
    <row r="60" ht="27" customHeight="1" spans="1:13">
      <c r="A60" s="276">
        <v>51101</v>
      </c>
      <c r="B60" s="277" t="s">
        <v>620</v>
      </c>
      <c r="C60" s="278">
        <v>1905</v>
      </c>
      <c r="D60" s="279"/>
      <c r="E60" s="280">
        <v>2000</v>
      </c>
      <c r="F60" s="279"/>
      <c r="G60" s="280"/>
      <c r="H60" s="281">
        <f t="shared" si="10"/>
        <v>2000</v>
      </c>
      <c r="I60" s="278">
        <f t="shared" si="13"/>
        <v>0</v>
      </c>
      <c r="J60" s="278">
        <f t="shared" si="11"/>
        <v>2000</v>
      </c>
      <c r="K60" s="282">
        <f t="shared" si="12"/>
        <v>0.0498687664041995</v>
      </c>
      <c r="L60" s="283"/>
    </row>
    <row r="61" ht="27" customHeight="1" spans="1:13">
      <c r="A61" s="265">
        <v>514</v>
      </c>
      <c r="B61" s="274" t="s">
        <v>621</v>
      </c>
      <c r="C61" s="271"/>
      <c r="D61" s="268"/>
      <c r="E61" s="269">
        <v>65000</v>
      </c>
      <c r="F61" s="268"/>
      <c r="G61" s="269"/>
      <c r="H61" s="270">
        <f t="shared" si="10"/>
        <v>65000</v>
      </c>
      <c r="I61" s="271">
        <f t="shared" si="13"/>
        <v>0</v>
      </c>
      <c r="J61" s="271">
        <f t="shared" si="11"/>
        <v>65000</v>
      </c>
      <c r="K61" s="272" t="s">
        <v>20</v>
      </c>
      <c r="L61" s="283"/>
      <c r="M61" s="275"/>
    </row>
    <row r="62" ht="27" customHeight="1" spans="1:13">
      <c r="A62" s="276">
        <v>51401</v>
      </c>
      <c r="B62" s="277" t="s">
        <v>622</v>
      </c>
      <c r="C62" s="278"/>
      <c r="D62" s="279"/>
      <c r="E62" s="280">
        <v>35000</v>
      </c>
      <c r="F62" s="279"/>
      <c r="G62" s="280"/>
      <c r="H62" s="281">
        <f t="shared" si="10"/>
        <v>35000</v>
      </c>
      <c r="I62" s="278">
        <f t="shared" si="13"/>
        <v>0</v>
      </c>
      <c r="J62" s="278">
        <f t="shared" si="11"/>
        <v>35000</v>
      </c>
      <c r="K62" s="272" t="s">
        <v>20</v>
      </c>
      <c r="L62" s="283"/>
    </row>
    <row r="63" ht="27" customHeight="1" spans="1:13">
      <c r="A63" s="276">
        <v>51402</v>
      </c>
      <c r="B63" s="277" t="s">
        <v>623</v>
      </c>
      <c r="C63" s="278"/>
      <c r="D63" s="279"/>
      <c r="E63" s="280">
        <v>30000</v>
      </c>
      <c r="F63" s="279"/>
      <c r="G63" s="280"/>
      <c r="H63" s="281">
        <f t="shared" si="10"/>
        <v>30000</v>
      </c>
      <c r="I63" s="278">
        <f t="shared" si="13"/>
        <v>0</v>
      </c>
      <c r="J63" s="278">
        <f t="shared" si="11"/>
        <v>30000</v>
      </c>
      <c r="K63" s="272" t="s">
        <v>20</v>
      </c>
      <c r="L63" s="283"/>
    </row>
    <row r="64" ht="27" customHeight="1" spans="1:13">
      <c r="A64" s="265">
        <v>599</v>
      </c>
      <c r="B64" s="274" t="s">
        <v>624</v>
      </c>
      <c r="C64" s="271">
        <f>SUM(C65:C67)</f>
        <v>657.625158</v>
      </c>
      <c r="D64" s="268"/>
      <c r="E64" s="269">
        <v>5862</v>
      </c>
      <c r="F64" s="268">
        <v>300.55</v>
      </c>
      <c r="G64" s="269">
        <v>12360.84</v>
      </c>
      <c r="H64" s="270">
        <f t="shared" si="10"/>
        <v>18523.39</v>
      </c>
      <c r="I64" s="271">
        <f t="shared" si="13"/>
        <v>300.55</v>
      </c>
      <c r="J64" s="271">
        <f t="shared" si="11"/>
        <v>18222.84</v>
      </c>
      <c r="K64" s="272">
        <f t="shared" si="12"/>
        <v>27.1670945441537</v>
      </c>
      <c r="L64" s="283"/>
      <c r="M64" s="275"/>
    </row>
    <row r="65" ht="27" customHeight="1" spans="1:12">
      <c r="A65" s="276">
        <v>59906</v>
      </c>
      <c r="B65" s="277" t="s">
        <v>1077</v>
      </c>
      <c r="C65" s="278"/>
      <c r="D65" s="279"/>
      <c r="E65" s="280"/>
      <c r="F65" s="279"/>
      <c r="G65" s="280">
        <v>300</v>
      </c>
      <c r="H65" s="281"/>
      <c r="I65" s="278"/>
      <c r="J65" s="278"/>
      <c r="K65" s="272" t="s">
        <v>20</v>
      </c>
      <c r="L65" s="283"/>
    </row>
    <row r="66" ht="34.5" customHeight="1" spans="1:12">
      <c r="A66" s="276">
        <v>59908</v>
      </c>
      <c r="B66" s="289" t="s">
        <v>625</v>
      </c>
      <c r="C66" s="278">
        <v>362.355634</v>
      </c>
      <c r="D66" s="279"/>
      <c r="E66" s="280"/>
      <c r="F66" s="279"/>
      <c r="G66" s="280"/>
      <c r="H66" s="281"/>
      <c r="I66" s="278"/>
      <c r="J66" s="278"/>
      <c r="K66" s="282">
        <f t="shared" si="12"/>
        <v>-1</v>
      </c>
      <c r="L66" s="283"/>
    </row>
    <row r="67" ht="27" customHeight="1" spans="1:12">
      <c r="A67" s="276">
        <v>59999</v>
      </c>
      <c r="B67" s="277" t="s">
        <v>626</v>
      </c>
      <c r="C67" s="278">
        <v>295.269524</v>
      </c>
      <c r="D67" s="279"/>
      <c r="E67" s="280">
        <v>5862</v>
      </c>
      <c r="F67" s="279">
        <v>300.55</v>
      </c>
      <c r="G67" s="280">
        <v>12060.84</v>
      </c>
      <c r="H67" s="281">
        <f>D67+E67+F67+G67</f>
        <v>18223.39</v>
      </c>
      <c r="I67" s="278">
        <f>D67+F67</f>
        <v>300.55</v>
      </c>
      <c r="J67" s="278">
        <f>E67+G67</f>
        <v>17922.84</v>
      </c>
      <c r="K67" s="282">
        <f t="shared" si="12"/>
        <v>60.71781548305</v>
      </c>
      <c r="L67" s="283"/>
    </row>
  </sheetData>
  <autoFilter xmlns:etc="http://www.wps.cn/officeDocument/2017/etCustomData" ref="A5:L69" etc:filterBottomFollowUsedRange="0">
    <extLst/>
  </autoFilter>
  <mergeCells count="1">
    <mergeCell ref="A2:L2"/>
  </mergeCells>
  <printOptions horizontalCentered="1"/>
  <pageMargins left="0.59" right="0.59" top="0.79" bottom="0.79" header="0.16" footer="0.35"/>
  <pageSetup paperSize="9" scale="75"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5"/>
  <sheetViews>
    <sheetView workbookViewId="0">
      <selection activeCell="B7" sqref="B7"/>
    </sheetView>
  </sheetViews>
  <sheetFormatPr defaultColWidth="9" defaultRowHeight="14.25" outlineLevelCol="3"/>
  <cols>
    <col min="1" max="1" width="11" style="210" customWidth="1"/>
    <col min="2" max="2" width="47.25" style="80" customWidth="1"/>
    <col min="3" max="3" width="30.5" customWidth="1"/>
    <col min="4" max="4" width="26.125" style="80" hidden="1" customWidth="1"/>
  </cols>
  <sheetData>
    <row r="1" ht="24.95" customHeight="1" spans="1:3">
      <c r="A1" s="211" t="s">
        <v>1078</v>
      </c>
      <c r="B1" s="212"/>
      <c r="C1" s="213"/>
    </row>
    <row r="2" ht="30.95" customHeight="1" spans="1:3">
      <c r="A2" s="214" t="s">
        <v>1079</v>
      </c>
      <c r="B2" s="214"/>
      <c r="C2" s="214"/>
    </row>
    <row r="3" ht="16.5" spans="1:3">
      <c r="A3" s="215"/>
      <c r="B3" s="212"/>
      <c r="C3" s="216" t="s">
        <v>38</v>
      </c>
    </row>
    <row r="4" ht="30.95" customHeight="1" spans="1:3">
      <c r="A4" s="217" t="s">
        <v>629</v>
      </c>
      <c r="B4" s="217"/>
      <c r="C4" s="217"/>
    </row>
    <row r="5" ht="36.95" customHeight="1" spans="1:3">
      <c r="A5" s="218" t="s">
        <v>630</v>
      </c>
      <c r="B5" s="218" t="s">
        <v>631</v>
      </c>
      <c r="C5" s="219" t="s">
        <v>632</v>
      </c>
    </row>
    <row r="6" ht="39.95" customHeight="1" spans="1:3">
      <c r="A6" s="115"/>
      <c r="B6" s="115" t="s">
        <v>633</v>
      </c>
      <c r="C6" s="220">
        <v>63604</v>
      </c>
    </row>
    <row r="7" ht="30" customHeight="1" spans="1:3">
      <c r="A7" s="221">
        <v>1</v>
      </c>
      <c r="B7" s="222" t="s">
        <v>1080</v>
      </c>
      <c r="C7" s="223">
        <v>30348</v>
      </c>
    </row>
    <row r="8" ht="30" customHeight="1" spans="1:3">
      <c r="A8" s="221">
        <v>2</v>
      </c>
      <c r="B8" s="222" t="s">
        <v>1081</v>
      </c>
      <c r="C8" s="223">
        <v>366</v>
      </c>
    </row>
    <row r="9" ht="30" customHeight="1" spans="1:3">
      <c r="A9" s="221">
        <v>3</v>
      </c>
      <c r="B9" s="222" t="s">
        <v>635</v>
      </c>
      <c r="C9" s="223">
        <v>34029</v>
      </c>
    </row>
    <row r="10" ht="30" customHeight="1" spans="1:3">
      <c r="A10" s="221">
        <v>4</v>
      </c>
      <c r="B10" s="222" t="s">
        <v>636</v>
      </c>
      <c r="C10" s="223">
        <v>-1139</v>
      </c>
    </row>
    <row r="11" ht="39.95" customHeight="1" spans="1:3">
      <c r="A11" s="224" t="s">
        <v>1082</v>
      </c>
      <c r="B11" s="224"/>
      <c r="C11" s="224"/>
    </row>
    <row r="12" ht="30" customHeight="1" spans="1:3">
      <c r="A12" s="225" t="s">
        <v>630</v>
      </c>
      <c r="B12" s="226" t="s">
        <v>1083</v>
      </c>
      <c r="C12" s="227" t="s">
        <v>632</v>
      </c>
    </row>
    <row r="13" ht="30" customHeight="1" spans="1:3">
      <c r="A13" s="225"/>
      <c r="B13" s="226" t="s">
        <v>570</v>
      </c>
      <c r="C13" s="228">
        <f>SUM(C14:C50)</f>
        <v>519083.4382</v>
      </c>
    </row>
    <row r="14" ht="30" customHeight="1" spans="1:3">
      <c r="A14" s="229">
        <v>1</v>
      </c>
      <c r="B14" s="230" t="s">
        <v>640</v>
      </c>
      <c r="C14" s="223">
        <v>134</v>
      </c>
    </row>
    <row r="15" ht="30" customHeight="1" spans="1:3">
      <c r="A15" s="229">
        <v>2</v>
      </c>
      <c r="B15" s="230" t="s">
        <v>642</v>
      </c>
      <c r="C15" s="223">
        <v>7053</v>
      </c>
    </row>
    <row r="16" ht="30" customHeight="1" spans="1:3">
      <c r="A16" s="229">
        <v>3</v>
      </c>
      <c r="B16" s="230" t="s">
        <v>643</v>
      </c>
      <c r="C16" s="223">
        <v>420</v>
      </c>
    </row>
    <row r="17" ht="30" customHeight="1" spans="1:3">
      <c r="A17" s="229">
        <v>4</v>
      </c>
      <c r="B17" s="230" t="s">
        <v>1084</v>
      </c>
      <c r="C17" s="231">
        <v>-2603</v>
      </c>
    </row>
    <row r="18" ht="30" customHeight="1" spans="1:3">
      <c r="A18" s="229">
        <v>5</v>
      </c>
      <c r="B18" s="230" t="s">
        <v>1085</v>
      </c>
      <c r="C18" s="223">
        <v>40000</v>
      </c>
    </row>
    <row r="19" ht="30" customHeight="1" spans="1:3">
      <c r="A19" s="229">
        <v>6</v>
      </c>
      <c r="B19" s="230" t="s">
        <v>1086</v>
      </c>
      <c r="C19" s="223">
        <v>20000</v>
      </c>
    </row>
    <row r="20" ht="30" customHeight="1" spans="1:3">
      <c r="A20" s="229">
        <v>7</v>
      </c>
      <c r="B20" s="230" t="s">
        <v>1087</v>
      </c>
      <c r="C20" s="223">
        <v>91987</v>
      </c>
    </row>
    <row r="21" ht="30" customHeight="1" spans="1:3">
      <c r="A21" s="229">
        <v>8</v>
      </c>
      <c r="B21" s="230" t="s">
        <v>1088</v>
      </c>
      <c r="C21" s="223">
        <v>61611</v>
      </c>
    </row>
    <row r="22" ht="30" customHeight="1" spans="1:3">
      <c r="A22" s="229">
        <v>9</v>
      </c>
      <c r="B22" s="230" t="s">
        <v>1089</v>
      </c>
      <c r="C22" s="223">
        <v>120000</v>
      </c>
    </row>
    <row r="23" ht="30" customHeight="1" spans="1:3">
      <c r="A23" s="229">
        <v>10</v>
      </c>
      <c r="B23" s="230" t="s">
        <v>1090</v>
      </c>
      <c r="C23" s="223">
        <v>404.58</v>
      </c>
    </row>
    <row r="24" ht="30" customHeight="1" spans="1:3">
      <c r="A24" s="229">
        <v>11</v>
      </c>
      <c r="B24" s="230" t="s">
        <v>1091</v>
      </c>
      <c r="C24" s="223">
        <v>1215</v>
      </c>
    </row>
    <row r="25" ht="42" customHeight="1" spans="1:3">
      <c r="A25" s="229">
        <v>12</v>
      </c>
      <c r="B25" s="230" t="s">
        <v>1092</v>
      </c>
      <c r="C25" s="223">
        <v>28332</v>
      </c>
    </row>
    <row r="26" ht="30" customHeight="1" spans="1:3">
      <c r="A26" s="229">
        <v>13</v>
      </c>
      <c r="B26" s="230" t="s">
        <v>1093</v>
      </c>
      <c r="C26" s="223">
        <v>11372</v>
      </c>
    </row>
    <row r="27" ht="30" customHeight="1" spans="1:3">
      <c r="A27" s="229">
        <v>14</v>
      </c>
      <c r="B27" s="230" t="s">
        <v>1094</v>
      </c>
      <c r="C27" s="223">
        <v>21000</v>
      </c>
    </row>
    <row r="28" ht="30" customHeight="1" spans="1:3">
      <c r="A28" s="229">
        <v>15</v>
      </c>
      <c r="B28" s="230" t="s">
        <v>1095</v>
      </c>
      <c r="C28" s="223">
        <v>14002.53</v>
      </c>
    </row>
    <row r="29" ht="30" customHeight="1" spans="1:3">
      <c r="A29" s="229">
        <v>16</v>
      </c>
      <c r="B29" s="230" t="s">
        <v>1096</v>
      </c>
      <c r="C29" s="223">
        <v>6625</v>
      </c>
    </row>
    <row r="30" ht="30" customHeight="1" spans="1:3">
      <c r="A30" s="229">
        <v>17</v>
      </c>
      <c r="B30" s="230" t="s">
        <v>1097</v>
      </c>
      <c r="C30" s="223">
        <v>50</v>
      </c>
    </row>
    <row r="31" ht="30" customHeight="1" spans="1:3">
      <c r="A31" s="229">
        <v>18</v>
      </c>
      <c r="B31" s="230" t="s">
        <v>1098</v>
      </c>
      <c r="C31" s="223">
        <v>1200</v>
      </c>
    </row>
    <row r="32" ht="38.1" customHeight="1" spans="1:3">
      <c r="A32" s="229">
        <v>19</v>
      </c>
      <c r="B32" s="230" t="s">
        <v>1099</v>
      </c>
      <c r="C32" s="223">
        <v>63</v>
      </c>
    </row>
    <row r="33" ht="30" customHeight="1" spans="1:4">
      <c r="A33" s="229">
        <v>20</v>
      </c>
      <c r="B33" s="230" t="s">
        <v>1100</v>
      </c>
      <c r="C33" s="223">
        <v>27521</v>
      </c>
    </row>
    <row r="34" ht="30" customHeight="1" spans="1:4">
      <c r="A34" s="229">
        <v>21</v>
      </c>
      <c r="B34" s="230" t="s">
        <v>1101</v>
      </c>
      <c r="C34" s="223">
        <v>11100</v>
      </c>
    </row>
    <row r="35" ht="30" customHeight="1" spans="1:4">
      <c r="A35" s="229">
        <v>22</v>
      </c>
      <c r="B35" s="230" t="s">
        <v>1102</v>
      </c>
      <c r="C35" s="223">
        <v>507</v>
      </c>
    </row>
    <row r="36" ht="48.95" customHeight="1" spans="1:4">
      <c r="A36" s="229">
        <v>23</v>
      </c>
      <c r="B36" s="230" t="s">
        <v>1103</v>
      </c>
      <c r="C36" s="223">
        <v>49900</v>
      </c>
    </row>
    <row r="37" ht="42" customHeight="1" spans="1:4">
      <c r="A37" s="229">
        <v>24</v>
      </c>
      <c r="B37" s="232" t="s">
        <v>1104</v>
      </c>
      <c r="C37" s="223">
        <v>445</v>
      </c>
    </row>
    <row r="38" ht="45.95" customHeight="1" spans="1:4">
      <c r="A38" s="229">
        <v>25</v>
      </c>
      <c r="B38" s="232" t="s">
        <v>1105</v>
      </c>
      <c r="C38" s="223">
        <v>145</v>
      </c>
    </row>
    <row r="39" ht="30" customHeight="1" spans="1:4">
      <c r="A39" s="229">
        <v>26</v>
      </c>
      <c r="B39" s="232" t="s">
        <v>1106</v>
      </c>
      <c r="C39" s="223">
        <v>2.4</v>
      </c>
    </row>
    <row r="40" ht="30" customHeight="1" spans="1:4">
      <c r="A40" s="229">
        <v>27</v>
      </c>
      <c r="B40" s="232" t="s">
        <v>1107</v>
      </c>
      <c r="C40" s="223">
        <v>65</v>
      </c>
    </row>
    <row r="41" ht="42" customHeight="1" spans="1:4">
      <c r="A41" s="203">
        <v>28</v>
      </c>
      <c r="B41" s="233" t="s">
        <v>1108</v>
      </c>
      <c r="C41" s="223">
        <v>93.0042</v>
      </c>
      <c r="D41" s="234"/>
    </row>
    <row r="42" ht="42" customHeight="1" spans="1:4">
      <c r="A42" s="108">
        <v>29</v>
      </c>
      <c r="B42" s="138" t="s">
        <v>1109</v>
      </c>
      <c r="C42" s="43">
        <v>2.834</v>
      </c>
      <c r="D42" s="234"/>
    </row>
    <row r="43" ht="54.95" customHeight="1" spans="1:4">
      <c r="A43" s="108">
        <v>30</v>
      </c>
      <c r="B43" s="138" t="s">
        <v>1110</v>
      </c>
      <c r="C43" s="43">
        <v>257</v>
      </c>
    </row>
    <row r="44" ht="42" customHeight="1" spans="1:4">
      <c r="A44" s="108">
        <v>31</v>
      </c>
      <c r="B44" s="138" t="s">
        <v>1111</v>
      </c>
      <c r="C44" s="43">
        <v>4.75</v>
      </c>
    </row>
    <row r="45" ht="42" customHeight="1" spans="1:4">
      <c r="A45" s="108">
        <v>32</v>
      </c>
      <c r="B45" s="235" t="s">
        <v>1112</v>
      </c>
      <c r="C45" s="236">
        <v>5757.34</v>
      </c>
    </row>
    <row r="46" ht="42" customHeight="1" spans="1:4">
      <c r="A46" s="108">
        <v>33</v>
      </c>
      <c r="B46" s="235" t="s">
        <v>1113</v>
      </c>
      <c r="C46" s="236">
        <v>417</v>
      </c>
    </row>
    <row r="47" ht="17.25" spans="1:4">
      <c r="A47" s="237"/>
      <c r="B47" s="238"/>
      <c r="C47" s="40"/>
    </row>
    <row r="48" ht="17.25" spans="1:4">
      <c r="A48" s="237"/>
      <c r="B48" s="238"/>
      <c r="C48" s="40"/>
    </row>
    <row r="49" ht="17.25" spans="1:3">
      <c r="A49" s="237"/>
      <c r="B49" s="238"/>
      <c r="C49" s="40"/>
    </row>
    <row r="50" ht="17.25" spans="1:3">
      <c r="A50" s="237"/>
      <c r="B50" s="238"/>
      <c r="C50" s="40"/>
    </row>
    <row r="51" ht="17.25" spans="1:3">
      <c r="A51" s="237"/>
      <c r="B51" s="238"/>
      <c r="C51" s="40"/>
    </row>
    <row r="52" ht="17.25" spans="1:3">
      <c r="A52" s="237"/>
      <c r="B52" s="238"/>
      <c r="C52" s="40"/>
    </row>
    <row r="53" ht="17.25" spans="1:3">
      <c r="A53" s="237"/>
      <c r="B53" s="238"/>
      <c r="C53" s="40"/>
    </row>
    <row r="54" ht="17.25" spans="1:3">
      <c r="A54" s="237"/>
      <c r="B54" s="238"/>
      <c r="C54" s="40"/>
    </row>
    <row r="55" ht="17.25" spans="1:3">
      <c r="A55" s="237"/>
      <c r="B55" s="238"/>
      <c r="C55" s="40"/>
    </row>
  </sheetData>
  <mergeCells count="3">
    <mergeCell ref="A2:C2"/>
    <mergeCell ref="A4:C4"/>
    <mergeCell ref="A11:C11"/>
  </mergeCells>
  <printOptions horizontalCentered="1"/>
  <pageMargins left="0.59" right="0.59" top="0.79" bottom="0.79" header="0.16" footer="0.51"/>
  <pageSetup paperSize="9" scale="90"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opLeftCell="A11" workbookViewId="0">
      <selection activeCell="K11" sqref="K11"/>
    </sheetView>
  </sheetViews>
  <sheetFormatPr defaultColWidth="9" defaultRowHeight="14.25"/>
  <cols>
    <col min="1" max="1" width="6.875" customWidth="1"/>
    <col min="2" max="2" width="15.125" customWidth="1"/>
    <col min="3" max="3" width="45.125" customWidth="1"/>
    <col min="4" max="4" width="12.375" customWidth="1"/>
    <col min="5" max="5" width="15.125" hidden="1" customWidth="1"/>
    <col min="6" max="6" width="12.375" customWidth="1"/>
    <col min="7" max="7" width="11.375" customWidth="1"/>
    <col min="8" max="8" width="12.5" customWidth="1"/>
    <col min="9" max="9" width="15.125" hidden="1" customWidth="1"/>
  </cols>
  <sheetData>
    <row r="1" ht="16.5" spans="1:9">
      <c r="A1" s="187" t="s">
        <v>1114</v>
      </c>
      <c r="B1" s="188"/>
      <c r="C1" s="188"/>
      <c r="D1" s="189"/>
      <c r="E1" s="190"/>
      <c r="F1" s="189"/>
      <c r="G1" s="191"/>
      <c r="H1" s="192"/>
      <c r="I1" s="193"/>
    </row>
    <row r="2" ht="25.5" spans="1:9">
      <c r="A2" s="194" t="s">
        <v>1115</v>
      </c>
      <c r="B2" s="194"/>
      <c r="C2" s="194"/>
      <c r="D2" s="194"/>
      <c r="E2" s="194"/>
      <c r="F2" s="194"/>
      <c r="G2" s="194"/>
      <c r="H2" s="195"/>
      <c r="I2" s="196"/>
    </row>
    <row r="3" ht="16.5" spans="1:9">
      <c r="A3" s="188"/>
      <c r="B3" s="188"/>
      <c r="C3" s="188"/>
      <c r="D3" s="189"/>
      <c r="E3" s="190"/>
      <c r="F3" s="189"/>
      <c r="G3" s="191"/>
      <c r="H3" s="192" t="s">
        <v>38</v>
      </c>
      <c r="I3" s="193"/>
    </row>
    <row r="4" ht="45" customHeight="1" spans="1:9">
      <c r="A4" s="197" t="s">
        <v>630</v>
      </c>
      <c r="B4" s="198" t="s">
        <v>1116</v>
      </c>
      <c r="C4" s="198" t="s">
        <v>1117</v>
      </c>
      <c r="D4" s="199" t="s">
        <v>1118</v>
      </c>
      <c r="E4" s="200" t="s">
        <v>1119</v>
      </c>
      <c r="F4" s="199" t="s">
        <v>1120</v>
      </c>
      <c r="G4" s="199" t="s">
        <v>6</v>
      </c>
      <c r="H4" s="201" t="s">
        <v>1121</v>
      </c>
      <c r="I4" s="202" t="s">
        <v>1122</v>
      </c>
    </row>
    <row r="5" ht="45" customHeight="1" spans="1:9">
      <c r="A5" s="203">
        <v>1</v>
      </c>
      <c r="B5" s="204" t="s">
        <v>1123</v>
      </c>
      <c r="C5" s="204" t="s">
        <v>1124</v>
      </c>
      <c r="D5" s="205">
        <v>34748</v>
      </c>
      <c r="E5" s="206">
        <v>9410.6448</v>
      </c>
      <c r="F5" s="205">
        <f t="shared" ref="F5:F15" si="0">D5+E5</f>
        <v>44158.6448</v>
      </c>
      <c r="G5" s="205">
        <v>41831.59</v>
      </c>
      <c r="H5" s="207">
        <f>46264.16-483.81</f>
        <v>45780.35</v>
      </c>
      <c r="I5" s="208">
        <f t="shared" ref="I5:I15" si="1">H5-F5</f>
        <v>1621.7052</v>
      </c>
    </row>
    <row r="6" ht="45" customHeight="1" spans="1:9">
      <c r="A6" s="203">
        <v>2</v>
      </c>
      <c r="B6" s="204" t="s">
        <v>1125</v>
      </c>
      <c r="C6" s="204" t="s">
        <v>1126</v>
      </c>
      <c r="D6" s="205">
        <v>1915.545</v>
      </c>
      <c r="E6" s="206">
        <v>0</v>
      </c>
      <c r="F6" s="205">
        <f t="shared" si="0"/>
        <v>1915.545</v>
      </c>
      <c r="G6" s="205">
        <v>1568.13</v>
      </c>
      <c r="H6" s="205">
        <v>0</v>
      </c>
      <c r="I6" s="208">
        <f t="shared" si="1"/>
        <v>-1915.545</v>
      </c>
    </row>
    <row r="7" ht="45" customHeight="1" spans="1:9">
      <c r="A7" s="203">
        <v>3</v>
      </c>
      <c r="B7" s="204" t="s">
        <v>1127</v>
      </c>
      <c r="C7" s="204" t="s">
        <v>1128</v>
      </c>
      <c r="D7" s="205">
        <v>500</v>
      </c>
      <c r="E7" s="206">
        <v>0</v>
      </c>
      <c r="F7" s="205">
        <f t="shared" si="0"/>
        <v>500</v>
      </c>
      <c r="G7" s="205">
        <v>499.67</v>
      </c>
      <c r="H7" s="207">
        <v>500</v>
      </c>
      <c r="I7" s="208">
        <f t="shared" si="1"/>
        <v>0</v>
      </c>
    </row>
    <row r="8" ht="45" customHeight="1" spans="1:9">
      <c r="A8" s="203">
        <v>4</v>
      </c>
      <c r="B8" s="204" t="s">
        <v>1129</v>
      </c>
      <c r="C8" s="204" t="s">
        <v>1130</v>
      </c>
      <c r="D8" s="205">
        <v>3008.69</v>
      </c>
      <c r="E8" s="206">
        <v>868</v>
      </c>
      <c r="F8" s="205">
        <f t="shared" si="0"/>
        <v>3876.69</v>
      </c>
      <c r="G8" s="205">
        <v>3536.21</v>
      </c>
      <c r="H8" s="207">
        <v>2611</v>
      </c>
      <c r="I8" s="208">
        <f t="shared" si="1"/>
        <v>-1265.69</v>
      </c>
    </row>
    <row r="9" ht="45" customHeight="1" spans="1:9">
      <c r="A9" s="203">
        <v>5</v>
      </c>
      <c r="B9" s="204" t="s">
        <v>1131</v>
      </c>
      <c r="C9" s="204" t="s">
        <v>1132</v>
      </c>
      <c r="D9" s="205">
        <v>1464</v>
      </c>
      <c r="E9" s="206">
        <v>0</v>
      </c>
      <c r="F9" s="205">
        <f t="shared" si="0"/>
        <v>1464</v>
      </c>
      <c r="G9" s="205">
        <v>1174.46</v>
      </c>
      <c r="H9" s="207">
        <v>1390</v>
      </c>
      <c r="I9" s="208">
        <f t="shared" si="1"/>
        <v>-74</v>
      </c>
    </row>
    <row r="10" ht="45" customHeight="1" spans="1:9">
      <c r="A10" s="203">
        <v>6</v>
      </c>
      <c r="B10" s="204" t="s">
        <v>1133</v>
      </c>
      <c r="C10" s="204" t="s">
        <v>1134</v>
      </c>
      <c r="D10" s="205">
        <v>7935.76</v>
      </c>
      <c r="E10" s="206">
        <v>0</v>
      </c>
      <c r="F10" s="205">
        <f t="shared" si="0"/>
        <v>7935.76</v>
      </c>
      <c r="G10" s="205">
        <v>7219.882447</v>
      </c>
      <c r="H10" s="207">
        <v>5398</v>
      </c>
      <c r="I10" s="208">
        <f t="shared" si="1"/>
        <v>-2537.76</v>
      </c>
    </row>
    <row r="11" ht="60" customHeight="1" spans="1:9">
      <c r="A11" s="203">
        <v>7</v>
      </c>
      <c r="B11" s="204" t="s">
        <v>1135</v>
      </c>
      <c r="C11" s="204" t="s">
        <v>1136</v>
      </c>
      <c r="D11" s="205">
        <v>300</v>
      </c>
      <c r="E11" s="206">
        <f>174.8+55.5</f>
        <v>230.3</v>
      </c>
      <c r="F11" s="205">
        <f t="shared" si="0"/>
        <v>530.3</v>
      </c>
      <c r="G11" s="205">
        <v>529.998</v>
      </c>
      <c r="H11" s="207">
        <v>500</v>
      </c>
      <c r="I11" s="208">
        <f t="shared" si="1"/>
        <v>-30.3</v>
      </c>
    </row>
    <row r="12" ht="98.1" customHeight="1" spans="1:9">
      <c r="A12" s="203">
        <v>8</v>
      </c>
      <c r="B12" s="204" t="s">
        <v>1137</v>
      </c>
      <c r="C12" s="204" t="s">
        <v>1138</v>
      </c>
      <c r="D12" s="205">
        <v>24200</v>
      </c>
      <c r="E12" s="206">
        <v>-2685.89</v>
      </c>
      <c r="F12" s="205">
        <f t="shared" si="0"/>
        <v>21514.11</v>
      </c>
      <c r="G12" s="205">
        <v>19762.14</v>
      </c>
      <c r="H12" s="207">
        <v>22200</v>
      </c>
      <c r="I12" s="208">
        <f t="shared" si="1"/>
        <v>685.889999999999</v>
      </c>
    </row>
    <row r="13" ht="60.95" customHeight="1" spans="1:9">
      <c r="A13" s="203">
        <v>9</v>
      </c>
      <c r="B13" s="204" t="s">
        <v>1139</v>
      </c>
      <c r="C13" s="204" t="s">
        <v>1140</v>
      </c>
      <c r="D13" s="205">
        <v>11372.4</v>
      </c>
      <c r="E13" s="206">
        <v>0</v>
      </c>
      <c r="F13" s="205">
        <f t="shared" si="0"/>
        <v>11372.4</v>
      </c>
      <c r="G13" s="205">
        <v>11372.4</v>
      </c>
      <c r="H13" s="207">
        <v>11372.4</v>
      </c>
      <c r="I13" s="208">
        <f t="shared" si="1"/>
        <v>0</v>
      </c>
    </row>
    <row r="14" ht="45" customHeight="1" spans="1:9">
      <c r="A14" s="203">
        <v>10</v>
      </c>
      <c r="B14" s="204" t="s">
        <v>1090</v>
      </c>
      <c r="C14" s="204" t="s">
        <v>1141</v>
      </c>
      <c r="D14" s="205">
        <v>100680</v>
      </c>
      <c r="E14" s="206">
        <v>7940</v>
      </c>
      <c r="F14" s="205">
        <f t="shared" si="0"/>
        <v>108620</v>
      </c>
      <c r="G14" s="205">
        <v>109243</v>
      </c>
      <c r="H14" s="207">
        <v>112862</v>
      </c>
      <c r="I14" s="208">
        <f t="shared" si="1"/>
        <v>4242</v>
      </c>
    </row>
    <row r="15" ht="45" customHeight="1" spans="1:9">
      <c r="A15" s="203">
        <v>11</v>
      </c>
      <c r="B15" s="204" t="s">
        <v>1142</v>
      </c>
      <c r="C15" s="204" t="s">
        <v>1143</v>
      </c>
      <c r="D15" s="205">
        <v>110000</v>
      </c>
      <c r="E15" s="206">
        <f>9000+640+3020</f>
        <v>12660</v>
      </c>
      <c r="F15" s="205">
        <f t="shared" si="0"/>
        <v>122660</v>
      </c>
      <c r="G15" s="205">
        <v>120356.0118</v>
      </c>
      <c r="H15" s="207">
        <f>76841.99+30000</f>
        <v>106841.99</v>
      </c>
      <c r="I15" s="208">
        <f t="shared" si="1"/>
        <v>-15818.01</v>
      </c>
    </row>
    <row r="16" ht="45" customHeight="1" spans="1:9">
      <c r="A16" s="145" t="s">
        <v>570</v>
      </c>
      <c r="B16" s="145"/>
      <c r="C16" s="145"/>
      <c r="D16" s="209">
        <f t="shared" ref="D16:I16" si="2">SUM(D5:D15)</f>
        <v>296124.395</v>
      </c>
      <c r="E16" s="209">
        <f t="shared" si="2"/>
        <v>28423.0548</v>
      </c>
      <c r="F16" s="209">
        <f t="shared" si="2"/>
        <v>324547.4498</v>
      </c>
      <c r="G16" s="209">
        <f t="shared" si="2"/>
        <v>317093.492247</v>
      </c>
      <c r="H16" s="209">
        <f t="shared" si="2"/>
        <v>309455.74</v>
      </c>
      <c r="I16" s="209">
        <f t="shared" si="2"/>
        <v>-15091.7098</v>
      </c>
    </row>
  </sheetData>
  <mergeCells count="2">
    <mergeCell ref="A2:I2"/>
    <mergeCell ref="A16:C16"/>
  </mergeCells>
  <printOptions horizontalCentered="1"/>
  <pageMargins left="0.59" right="0.59" top="0.79" bottom="0.79" header="0.16" footer="0.51"/>
  <pageSetup paperSize="9" scale="7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附件1-1. 2019年一般公共预算收入</vt:lpstr>
      <vt:lpstr>附件1-2.2019年一般公共预算支出（功能科目）</vt:lpstr>
      <vt:lpstr>附件1-3.2019年一般公共预算支出（经济科目）</vt:lpstr>
      <vt:lpstr>附件1-4. 2019年上级转移支付执行情况表 </vt:lpstr>
      <vt:lpstr>附件2-1.2020年一般公共预算收入</vt:lpstr>
      <vt:lpstr>附件2-2.2020年一般公共预算支出（功能科目）</vt:lpstr>
      <vt:lpstr>附件2-3.2020年一般公共预算支出（经济科目）</vt:lpstr>
      <vt:lpstr>附件2-4.2020年上级转移支付提前下达汇总表 </vt:lpstr>
      <vt:lpstr>附件2-5.2020年区级财政专项资金预算表</vt:lpstr>
      <vt:lpstr>附件3-1.2020年政府性基金预算（草案）表 </vt:lpstr>
      <vt:lpstr>附件3-2.2020年国土基金收支计划表</vt:lpstr>
      <vt:lpstr>附件3-3.2019年政府性基金上级转移支付执行情况表</vt:lpstr>
      <vt:lpstr>附件3-4.2020年政府性基金上级转移支付表</vt:lpstr>
      <vt:lpstr>附件4.国有资本经营收支预算</vt:lpstr>
      <vt:lpstr>附件5-1.债务限额及余额情况表</vt:lpstr>
      <vt:lpstr>附件5-2.一般债务余额情况表</vt:lpstr>
      <vt:lpstr>附件5-3.专项债务余额情况表</vt:lpstr>
      <vt:lpstr>附件5-4.债券发行及还本付息情况表</vt:lpstr>
      <vt:lpstr>附件5-5.债务限额提前下达情况表</vt:lpstr>
      <vt:lpstr>附件5-6.债券分年度偿还计划情况表</vt:lpstr>
      <vt:lpstr>附件6.2020年税收返还和转移支付分地区汇总表</vt:lpstr>
      <vt:lpstr>附件7.2020年社会保险基金预算表</vt:lpstr>
      <vt:lpstr>附件8.龙岗区重大项目计划表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肇事者</dc:creator>
  <cp:lastModifiedBy>小蛮</cp:lastModifiedBy>
  <cp:revision>1</cp:revision>
  <dcterms:created xsi:type="dcterms:W3CDTF">1996-12-18T01:32:00Z</dcterms:created>
  <cp:lastPrinted>2020-01-05T04:20:00Z</cp:lastPrinted>
  <dcterms:modified xsi:type="dcterms:W3CDTF">2025-11-10T08:08:54Z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9CC65A4C4FE34658A448FEEBA4A8569E_13</vt:lpwstr>
  </property>
</Properties>
</file>